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5f48891ed9540b2" /></Relationships>
</file>

<file path=xl/workbook.xml><?xml version="1.0" encoding="utf-8"?>
<x:workbook xmlns:x="http://schemas.openxmlformats.org/spreadsheetml/2006/main">
  <x:sheets>
    <x:sheet xmlns:r="http://schemas.openxmlformats.org/officeDocument/2006/relationships" name="Report" sheetId="1" r:id="Raf2a7c059ca8451a"/>
    <x:sheet xmlns:r="http://schemas.openxmlformats.org/officeDocument/2006/relationships" name="Prepared" sheetId="2" r:id="R3bac2529f12843bb"/>
    <x:sheet xmlns:r="http://schemas.openxmlformats.org/officeDocument/2006/relationships" name="Source" sheetId="3" r:id="Rc236bdd013cf4744"/>
    <x:sheet xmlns:r="http://schemas.openxmlformats.org/officeDocument/2006/relationships" name="Guide" sheetId="4" r:id="Rc72a2ad78a5849b6"/>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mm/dd/yy"/>
    <x:numFmt numFmtId="201" formatCode="0.00"/>
    <x:numFmt numFmtId="202" formatCode="mmm d, yyyy"/>
    <x:numFmt numFmtId="203" formatCode="#,##0"/>
    <x:numFmt numFmtId="204" formatCode="0.0"/>
    <x:numFmt numFmtId="205" formatCode="0.0%"/>
    <x:numFmt numFmtId="206" formatCode="mmm d"/>
  </x:numFmts>
  <x:fonts count="6">
    <x:font>
      <x:sz val="11"/>
      <x:name val="Carlito"/>
    </x:font>
    <x:font>
      <x:sz val="11"/>
      <x:color rgb="FF18334A"/>
      <x:name val="Arial"/>
    </x:font>
    <x:font>
      <x:b/>
      <x:sz val="11"/>
      <x:color rgb="FFFFFFFF"/>
      <x:name val="Arial"/>
    </x:font>
    <x:font>
      <x:b/>
      <x:sz val="16"/>
      <x:color rgb="FF18334A"/>
      <x:name val="Arial"/>
    </x:font>
    <x:font>
      <x:sz val="11"/>
      <x:color rgb="FF5F7080"/>
      <x:name val="Arial"/>
    </x:font>
    <x:font>
      <x:b/>
      <x:sz val="11"/>
      <x:color rgb="FF18334A"/>
      <x:name val="Arial"/>
    </x:font>
  </x:fonts>
  <x:fills count="5">
    <x:fill>
      <x:patternFill patternType="none"/>
    </x:fill>
    <x:fill>
      <x:patternFill patternType="gray125"/>
    </x:fill>
    <x:fill>
      <x:patternFill patternType="solid">
        <x:fgColor rgb="FF18334A"/>
      </x:patternFill>
    </x:fill>
    <x:fill>
      <x:patternFill patternType="solid">
        <x:fgColor rgb="FFFFF1CE"/>
      </x:patternFill>
    </x:fill>
    <x:fill>
      <x:patternFill patternType="solid">
        <x:fgColor rgb="FFEDF3F7"/>
      </x:patternFill>
    </x:fill>
  </x:fills>
  <x:borders count="1">
    <x:border>
      <x:left/>
      <x:right/>
      <x:top/>
      <x:bottom/>
      <x:diagonal/>
    </x:border>
  </x:borders>
  <x:cellStyleXfs count="1">
    <x:xf numFmtId="0" fontId="0" fillId="0" borderId="0"/>
  </x:cellStyleXfs>
  <x:cellXfs count="2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2"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200" fontId="1" fillId="3" borderId="0" xfId="0" applyNumberFormat="1" applyFont="1" applyFill="1" applyBorder="1" applyAlignment="1">
      <x:alignment vertical="center"/>
    </x:xf>
    <x:xf numFmtId="201" fontId="1" fillId="3"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0" fillId="0" borderId="0" xfId="0" applyNumberFormat="1" applyFont="1" applyFill="1" applyBorder="1" applyAlignment="1">
      <x:alignment wrapText="1"/>
    </x:xf>
    <x:xf numFmtId="200" fontId="1" fillId="0" borderId="0" xfId="0" applyNumberFormat="1" applyFont="1" applyFill="1" applyBorder="1" applyAlignment="1">
      <x:alignment vertical="center"/>
    </x:xf>
    <x:xf numFmtId="200" fontId="0" fillId="0" borderId="0" xfId="0" applyNumberFormat="1" applyFont="1" applyFill="1" applyBorder="1"/>
    <x:xf numFmtId="201" fontId="1" fillId="0" borderId="0" xfId="0" applyNumberFormat="1" applyFont="1" applyFill="1" applyBorder="1" applyAlignment="1">
      <x:alignment vertical="center"/>
    </x:xf>
    <x:xf numFmtId="201" fontId="0" fillId="0" borderId="0" xfId="0" applyNumberFormat="1" applyFont="1" applyFill="1" applyBorder="1"/>
    <x:xf numFmtId="0" fontId="4"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2" fontId="1" fillId="3"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0" fontId="1" fillId="4" borderId="0" xfId="0" applyNumberFormat="1" applyFont="1" applyFill="1" applyBorder="1" applyAlignment="1">
      <x:alignment vertical="center" wrapText="1"/>
    </x:xf>
    <x:xf numFmtId="0" fontId="5" fillId="4" borderId="0" xfId="0" applyNumberFormat="1" applyFont="1" applyFill="1" applyBorder="1" applyAlignment="1">
      <x:alignment vertical="center" wrapText="1"/>
    </x:xf>
  </x:cellXfs>
  <x:cellStyles count="1">
    <x:cellStyle name="Normal" xfId="0"/>
  </x:cellStyles>
  <x:dxfs count="2">
    <x:dxf>
      <x:font>
        <x:color rgb="FFA52E24"/>
      </x:font>
      <x:fill>
        <x:patternFill patternType="solid">
          <x:bgColor rgb="FFFDE9E6"/>
        </x:patternFill>
      </x:fill>
    </x:dxf>
    <x:dxf>
      <x:font>
        <x:b/>
        <x:color rgb="FFA52E24"/>
      </x:font>
      <x:fill>
        <x:patternFill patternType="solid">
          <x:bgColor rgb="FFFDE9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a2641df83314681" /><Relationship Type="http://schemas.openxmlformats.org/officeDocument/2006/relationships/theme" Target="/xl/theme/theme1.xml" Id="R9542b934cc1b4582" /><Relationship Type="http://schemas.openxmlformats.org/officeDocument/2006/relationships/sharedStrings" Target="/xl/sharedStrings.xml" Id="R6be6574ad9e745e7" /><Relationship Type="http://schemas.openxmlformats.org/officeDocument/2006/relationships/worksheet" Target="/xl/worksheets/sheet1.xml" Id="Raf2a7c059ca8451a" /><Relationship Type="http://schemas.openxmlformats.org/officeDocument/2006/relationships/worksheet" Target="/xl/worksheets/sheet2.xml" Id="R3bac2529f12843bb" /><Relationship Type="http://schemas.openxmlformats.org/officeDocument/2006/relationships/worksheet" Target="/xl/worksheets/sheet3.xml" Id="Rc236bdd013cf4744" /><Relationship Type="http://schemas.openxmlformats.org/officeDocument/2006/relationships/worksheet" Target="/xl/worksheets/sheet4.xml" Id="Rc72a2ad78a5849b6" /></Relationships>
</file>

<file path=xl/drawings/_rels/drawing1.xml.rels>&#65279;<?xml version="1.0" encoding="utf-8"?><Relationships xmlns="http://schemas.openxmlformats.org/package/2006/relationships"><Relationship Type="http://schemas.openxmlformats.org/officeDocument/2006/relationships/chart" Target="/xl/drawings/charts/chart1.xml" Id="Rf418a17bdffe4f82"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050">
                <a:latin typeface="Arial"/>
                <a:ea typeface="Arial"/>
                <a:cs typeface="Arial"/>
              </a:rPr>
              <a:t>Included tickets by week</a:t>
            </a:r>
          </a:p>
        </c:rich>
      </c:tx>
      <c:overlay val="0"/>
      <c:txPr>
        <a:bodyPr xmlns:a="http://schemas.openxmlformats.org/drawingml/2006/main" anchorCtr="1"/>
        <a:lstStyle xmlns:a="http://schemas.openxmlformats.org/drawingml/2006/main"/>
        <a:p xmlns:a="http://schemas.openxmlformats.org/drawingml/2006/main">
          <a:pPr>
            <a:defRPr sz="1050">
              <a:latin typeface="Arial"/>
              <a:ea typeface="Arial"/>
              <a:cs typeface="Arial"/>
            </a:defRPr>
          </a:pPr>
        </a:p>
      </c:txPr>
    </c:title>
    <c:plotArea>
      <c:barChart>
        <c:barDir val="col"/>
        <c:varyColors val="0"/>
        <c:ser>
          <c:idx val="0"/>
          <c:order val="0"/>
          <c:tx>
            <c:v>Included tickets</c:v>
          </c:tx>
          <c:spPr>
            <a:solidFill xmlns:a="http://schemas.openxmlformats.org/drawingml/2006/main">
              <a:srgbClr val="296B9A"/>
            </a:solidFill>
          </c:spPr>
          <c:invertIfNegative val="0"/>
          <c:cat>
            <c:strRef>
              <c:f>'Report'!$K$18:$K$21</c:f>
              <c:strCache>
                <c:ptCount val="0"/>
              </c:strCache>
            </c:strRef>
          </c:cat>
          <c:val>
            <c:numRef>
              <c:f>'Report'!$L$18:$L$21</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5</xdr:col>
      <xdr:colOff>0</xdr:colOff>
      <xdr:row>6</xdr:row>
      <xdr:rowOff>0</xdr:rowOff>
    </xdr:from>
    <xdr:to>
      <xdr:col>9</xdr:col>
      <xdr:colOff>0</xdr:colOff>
      <xdr:row>22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418a17bdffe4f82"/>
        </a:graphicData>
      </a:graphic>
    </xdr:graphicFrame>
    <xdr:clientData/>
  </xdr:twoCellAnchor>
</xdr:wsDr>
</file>

<file path=xl/tables/table1.xml><?xml version="1.0" encoding="utf-8"?>
<x:table xmlns:x="http://schemas.openxmlformats.org/spreadsheetml/2006/main" id="2" name="PreparedRecords" displayName="PreparedRecords" ref="A7:N213" headerRowCount="1" totalsRowCount="0" totalsRowShown="0">
  <x:tableColumns count="14">
    <x:tableColumn id="1" name="Source row"/>
    <x:tableColumn id="2" name="Ticket ID"/>
    <x:tableColumn id="3" name="Closed date"/>
    <x:tableColumn id="4" name="Team"/>
    <x:tableColumn id="5" name="Effort hours"/>
    <x:tableColumn id="6" name="Resolution hours"/>
    <x:tableColumn id="7" name="SLA hours"/>
    <x:tableColumn id="8" name="ID occurrences"/>
    <x:tableColumn id="9" name="Review reason"/>
    <x:tableColumn id="10" name="Disposition"/>
    <x:tableColumn id="11" name="Within SLA"/>
    <x:tableColumn id="12" name="Week starts"/>
    <x:tableColumn id="13" name="Included effort"/>
    <x:tableColumn id="14" name="Included resolution"/>
  </x:tableColumns>
  <x:tableStyleInfo name="TableStyleMedium2" showFirstColumn="0" showLastColumn="0" showRowStripes="1" showColumnStripes="0"/>
</x:table>
</file>

<file path=xl/tables/table2.xml><?xml version="1.0" encoding="utf-8"?>
<x:table xmlns:x="http://schemas.openxmlformats.org/spreadsheetml/2006/main" id="1" name="SourceRecords" displayName="SourceRecords" ref="A1:F207" headerRowCount="1" totalsRowCount="0" totalsRowShown="0">
  <x:tableColumns count="6">
    <x:tableColumn id="1" name="Ticket ID"/>
    <x:tableColumn id="2" name="Closed date"/>
    <x:tableColumn id="3" name="Team"/>
    <x:tableColumn id="4" name="Effort hours"/>
    <x:tableColumn id="5" name="Resolution hours"/>
    <x:tableColumn id="6" name="SLA hour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94103fa76ca748f2" /></Relationships>
</file>

<file path=xl/worksheets/_rels/sheet2.xml.rels>&#65279;<?xml version="1.0" encoding="utf-8"?><Relationships xmlns="http://schemas.openxmlformats.org/package/2006/relationships"><Relationship Type="http://schemas.openxmlformats.org/officeDocument/2006/relationships/table" Target="/xl/tables/table1.xml" Id="R16d1263ad75c429f" /></Relationships>
</file>

<file path=xl/worksheets/_rels/sheet3.xml.rels>&#65279;<?xml version="1.0" encoding="utf-8"?><Relationships xmlns="http://schemas.openxmlformats.org/package/2006/relationships"><Relationship Type="http://schemas.openxmlformats.org/officeDocument/2006/relationships/table" Target="/xl/tables/table2.xml" Id="Rfe7df2ba02cf4ae2" /></Relationships>
</file>

<file path=xl/worksheets/sheet1.xml><?xml version="1.0" encoding="utf-8"?>
<x:worksheet xmlns:x="http://schemas.openxmlformats.org/spreadsheetml/2006/main">
  <x:sheetPr>
    <x:tabColor rgb="FF18334A"/>
  </x:sheetPr>
  <x:sheetViews>
    <x:sheetView showGridLines="0" workbookViewId="0"/>
  </x:sheetViews>
  <x:sheetFormatPr defaultRowHeight="15"/>
  <x:cols>
    <x:col min="1" max="1" width="3" hidden="0" customWidth="1"/>
    <x:col min="2" max="2" width="31" hidden="0" customWidth="1"/>
    <x:col min="3" max="3" width="15" hidden="0" customWidth="1"/>
    <x:col min="4" max="4" width="15" hidden="0" customWidth="1"/>
    <x:col min="5" max="5" width="3" hidden="0" customWidth="1"/>
    <x:col min="6" max="6" width="20" hidden="0" customWidth="1"/>
    <x:col min="7" max="7" width="14" hidden="0" customWidth="1"/>
    <x:col min="8" max="8" width="14" hidden="0" customWidth="1"/>
    <x:col min="9" max="9" width="14" hidden="0" customWidth="1"/>
    <x:col min="11" max="11" width="18" hidden="0" customWidth="1"/>
    <x:col min="12" max="12" width="18" hidden="0" customWidth="1"/>
  </x:cols>
  <x:sheetData>
    <x:row r="1" ht="22" customHeight="1">
      <x:c r="A1" s="2"/>
      <x:c r="B1" s="2"/>
      <x:c r="C1" s="2"/>
      <x:c r="D1" s="2"/>
      <x:c r="E1" s="2"/>
      <x:c r="F1" s="2"/>
      <x:c r="G1" s="2"/>
      <x:c r="H1" s="2"/>
      <x:c r="I1" s="2"/>
    </x:row>
    <x:row r="2" ht="30" customHeight="1">
      <x:c r="A2" s="2"/>
      <x:c r="B2" s="10" t="str">
        <x:v>Task Unwind reporting sample</x:v>
      </x:c>
      <x:c r="C2" s="2"/>
      <x:c r="D2" s="2"/>
      <x:c r="E2" s="2"/>
      <x:c r="F2" s="2"/>
      <x:c r="G2" s="2"/>
      <x:c r="H2" s="2"/>
      <x:c r="I2" s="2"/>
    </x:row>
    <x:row r="3" ht="22" customHeight="1">
      <x:c r="A3" s="2"/>
      <x:c r="B3" s="17" t="str">
        <x:v>Portfolio demonstration. All records and results are fictional.</x:v>
      </x:c>
      <x:c r="C3" s="2"/>
      <x:c r="D3" s="2"/>
      <x:c r="E3" s="2"/>
      <x:c r="F3" s="2"/>
      <x:c r="G3" s="2"/>
      <x:c r="H3" s="2"/>
      <x:c r="I3" s="2"/>
    </x:row>
    <x:row r="4" ht="22" customHeight="1">
      <x:c r="A4" s="2"/>
      <x:c r="B4" s="2"/>
      <x:c r="C4" s="2"/>
      <x:c r="D4" s="2"/>
      <x:c r="E4" s="2"/>
      <x:c r="F4" s="2"/>
      <x:c r="G4" s="2"/>
      <x:c r="H4" s="2"/>
      <x:c r="I4" s="2"/>
    </x:row>
    <x:row r="5" ht="22" customHeight="1">
      <x:c r="A5" s="2"/>
      <x:c r="B5" s="2" t="str">
        <x:v>Period begins (Monday)</x:v>
      </x:c>
      <x:c r="C5" s="19" t="n">
        <x:v>46293</x:v>
      </x:c>
      <x:c r="D5" s="2" t="str">
        <x:v>Ends</x:v>
      </x:c>
      <x:c r="E5" s="2"/>
      <x:c r="F5" s="18" t="n">
        <x:f>C5+27</x:f>
        <x:v>46320</x:v>
      </x:c>
      <x:c r="G5" s="2"/>
      <x:c r="H5" s="2"/>
      <x:c r="I5" s="2"/>
    </x:row>
    <x:row r="6" ht="22" customHeight="1">
      <x:c r="A6" s="2"/>
      <x:c r="B6" s="2"/>
      <x:c r="C6" s="2"/>
      <x:c r="D6" s="2"/>
      <x:c r="E6" s="2"/>
      <x:c r="F6" s="2"/>
      <x:c r="G6" s="2"/>
      <x:c r="H6" s="2"/>
      <x:c r="I6" s="2"/>
    </x:row>
    <x:row r="7" ht="30" customHeight="1">
      <x:c r="A7" s="2"/>
      <x:c r="B7" s="6" t="str">
        <x:v>Batch results</x:v>
      </x:c>
      <x:c r="C7" s="6" t="str"/>
      <x:c r="D7" s="6" t="str">
        <x:v>Value</x:v>
      </x:c>
      <x:c r="E7" s="2"/>
      <x:c r="F7" s="2"/>
      <x:c r="G7" s="2"/>
      <x:c r="H7" s="2"/>
      <x:c r="I7" s="2"/>
    </x:row>
    <x:row r="8" ht="22" customHeight="1">
      <x:c r="A8" s="2"/>
      <x:c r="B8" s="2" t="str">
        <x:v>Source records</x:v>
      </x:c>
      <x:c r="C8" s="2"/>
      <x:c r="D8" s="20" t="n">
        <x:f>COUNT('Prepared'!A8:A213)</x:f>
        <x:v>97</x:v>
      </x:c>
      <x:c r="E8" s="2"/>
      <x:c r="F8" s="2"/>
      <x:c r="G8" s="2"/>
      <x:c r="H8" s="2"/>
      <x:c r="I8" s="2"/>
    </x:row>
    <x:row r="9" ht="22" customHeight="1">
      <x:c r="A9" s="2"/>
      <x:c r="B9" s="2" t="str">
        <x:v>Included records</x:v>
      </x:c>
      <x:c r="C9" s="2"/>
      <x:c r="D9" s="20" t="n">
        <x:f>COUNTIFS('Prepared'!J8:J213,"Included")</x:f>
        <x:v>87</x:v>
      </x:c>
      <x:c r="E9" s="2"/>
      <x:c r="F9" s="2"/>
      <x:c r="G9" s="2"/>
      <x:c r="H9" s="2"/>
      <x:c r="I9" s="2"/>
    </x:row>
    <x:row r="10" ht="22" customHeight="1">
      <x:c r="A10" s="2"/>
      <x:c r="B10" s="2" t="str">
        <x:v>Records needing review</x:v>
      </x:c>
      <x:c r="C10" s="2"/>
      <x:c r="D10" s="20" t="n">
        <x:f>COUNTIFS('Prepared'!J8:J213,"Review")</x:f>
        <x:v>10</x:v>
      </x:c>
      <x:c r="E10" s="2"/>
      <x:c r="F10" s="2"/>
      <x:c r="G10" s="2"/>
      <x:c r="H10" s="2"/>
      <x:c r="I10" s="2"/>
    </x:row>
    <x:row r="11" ht="22" customHeight="1">
      <x:c r="A11" s="2"/>
      <x:c r="B11" s="2" t="str">
        <x:v>Included effort (hours)</x:v>
      </x:c>
      <x:c r="C11" s="2"/>
      <x:c r="D11" s="21" t="n">
        <x:f>SUM('Prepared'!M8:M213)</x:f>
        <x:v>129</x:v>
      </x:c>
      <x:c r="E11" s="2"/>
      <x:c r="F11" s="2"/>
      <x:c r="G11" s="2"/>
      <x:c r="H11" s="2"/>
      <x:c r="I11" s="2"/>
    </x:row>
    <x:row r="12" ht="22" customHeight="1">
      <x:c r="A12" s="2"/>
      <x:c r="B12" s="2" t="str">
        <x:v>Within SLA</x:v>
      </x:c>
      <x:c r="C12" s="2"/>
      <x:c r="D12" s="22" t="n">
        <x:f>IF(D9=0,"n.a.",SUM('Prepared'!K8:K213)/D9)</x:f>
        <x:v>0.8390804597701149</x:v>
      </x:c>
      <x:c r="E12" s="2"/>
      <x:c r="F12" s="2"/>
      <x:c r="G12" s="2"/>
      <x:c r="H12" s="2"/>
      <x:c r="I12" s="2"/>
    </x:row>
    <x:row r="13" ht="22" customHeight="1">
      <x:c r="A13" s="2"/>
      <x:c r="B13" s="2" t="str">
        <x:v>Avg. resolution (hours)</x:v>
      </x:c>
      <x:c r="C13" s="2"/>
      <x:c r="D13" s="21" t="n">
        <x:f>IF(D9=0,"n.a.",SUM('Prepared'!N8:N213)/D9)</x:f>
        <x:v>21.724137931034484</x:v>
      </x:c>
      <x:c r="E13" s="2"/>
      <x:c r="F13" s="2"/>
      <x:c r="G13" s="2"/>
      <x:c r="H13" s="2"/>
      <x:c r="I13" s="2"/>
    </x:row>
    <x:row r="14" ht="22" customHeight="1">
      <x:c r="A14" s="2"/>
      <x:c r="B14" s="2"/>
      <x:c r="C14" s="2"/>
      <x:c r="D14" s="2"/>
      <x:c r="E14" s="2"/>
      <x:c r="F14" s="2"/>
      <x:c r="G14" s="2"/>
      <x:c r="H14" s="2"/>
      <x:c r="I14" s="2"/>
    </x:row>
    <x:row r="15" ht="22" customHeight="1">
      <x:c r="A15" s="2"/>
      <x:c r="B15" s="2" t="str">
        <x:v>Review rows are excluded from every performance metric.</x:v>
      </x:c>
      <x:c r="C15" s="2"/>
      <x:c r="D15" s="2"/>
      <x:c r="E15" s="2"/>
      <x:c r="F15" s="2"/>
      <x:c r="G15" s="2"/>
      <x:c r="H15" s="2"/>
      <x:c r="I15" s="2"/>
    </x:row>
    <x:row r="16" ht="22" customHeight="1">
      <x:c r="A16" s="2"/>
      <x:c r="B16" s="2"/>
      <x:c r="C16" s="2"/>
      <x:c r="D16" s="2"/>
      <x:c r="E16" s="2"/>
      <x:c r="F16" s="2"/>
      <x:c r="G16" s="2"/>
      <x:c r="H16" s="2"/>
      <x:c r="I16" s="2"/>
      <x:c r="K16" t="str">
        <x:v>Chart labels</x:v>
      </x:c>
    </x:row>
    <x:row r="17" ht="30" customHeight="1">
      <x:c r="A17" s="2"/>
      <x:c r="B17" s="6" t="str">
        <x:v>Week beginning</x:v>
      </x:c>
      <x:c r="C17" s="6" t="str">
        <x:v>Included tickets</x:v>
      </x:c>
      <x:c r="D17" s="6" t="str">
        <x:v>Within SLA</x:v>
      </x:c>
      <x:c r="E17" s="2"/>
      <x:c r="F17" s="2"/>
      <x:c r="G17" s="2"/>
      <x:c r="H17" s="2"/>
      <x:c r="I17" s="2"/>
      <x:c r="K17" t="str">
        <x:v>Week</x:v>
      </x:c>
      <x:c r="L17" t="str">
        <x:v>Included tickets</x:v>
      </x:c>
    </x:row>
    <x:row r="18" ht="22" customHeight="1">
      <x:c r="A18" s="2"/>
      <x:c r="B18" s="23" t="n">
        <x:f>$C$5</x:f>
        <x:v>46293</x:v>
      </x:c>
      <x:c r="C18" s="2" t="n">
        <x:f>COUNTIFS('Prepared'!L$8:L$213,B18,'Prepared'!J$8:J$213,"Included")</x:f>
        <x:v>18</x:v>
      </x:c>
      <x:c r="D18" s="22" t="n">
        <x:f>IF(C18=0,"n.a.",SUMIFS('Prepared'!K$8:K$213,'Prepared'!L$8:L$213,B18)/C18)</x:f>
        <x:v>0.8888888888888888</x:v>
      </x:c>
      <x:c r="E18" s="2"/>
      <x:c r="F18" s="2"/>
      <x:c r="G18" s="2"/>
      <x:c r="H18" s="2"/>
      <x:c r="I18" s="2"/>
      <x:c r="K18" t="str">
        <x:f>TEXT(B18,"mmm d")</x:f>
        <x:v>Sep 28</x:v>
      </x:c>
      <x:c r="L18" t="n">
        <x:f>C18</x:f>
        <x:v>18</x:v>
      </x:c>
    </x:row>
    <x:row r="19" ht="22" customHeight="1">
      <x:c r="A19" s="2"/>
      <x:c r="B19" s="23" t="n">
        <x:f>B18+7</x:f>
        <x:v>46300</x:v>
      </x:c>
      <x:c r="C19" s="2" t="n">
        <x:f>COUNTIFS('Prepared'!L$8:L$213,B19,'Prepared'!J$8:J$213,"Included")</x:f>
        <x:v>21</x:v>
      </x:c>
      <x:c r="D19" s="22" t="n">
        <x:f>IF(C19=0,"n.a.",SUMIFS('Prepared'!K$8:K$213,'Prepared'!L$8:L$213,B19)/C19)</x:f>
        <x:v>0.8095238095238095</x:v>
      </x:c>
      <x:c r="E19" s="2"/>
      <x:c r="F19" s="2"/>
      <x:c r="G19" s="2"/>
      <x:c r="H19" s="2"/>
      <x:c r="I19" s="2"/>
      <x:c r="K19" t="str">
        <x:f>TEXT(B19,"mmm d")</x:f>
        <x:v>Oct 5</x:v>
      </x:c>
      <x:c r="L19" t="n">
        <x:f>C19</x:f>
        <x:v>21</x:v>
      </x:c>
    </x:row>
    <x:row r="20" ht="22" customHeight="1">
      <x:c r="A20" s="2"/>
      <x:c r="B20" s="23" t="n">
        <x:f>B19+7</x:f>
        <x:v>46307</x:v>
      </x:c>
      <x:c r="C20" s="2" t="n">
        <x:f>COUNTIFS('Prepared'!L$8:L$213,B20,'Prepared'!J$8:J$213,"Included")</x:f>
        <x:v>24</x:v>
      </x:c>
      <x:c r="D20" s="22" t="n">
        <x:f>IF(C20=0,"n.a.",SUMIFS('Prepared'!K$8:K$213,'Prepared'!L$8:L$213,B20)/C20)</x:f>
        <x:v>0.8333333333333334</x:v>
      </x:c>
      <x:c r="E20" s="2"/>
      <x:c r="F20" s="2"/>
      <x:c r="G20" s="2"/>
      <x:c r="H20" s="2"/>
      <x:c r="I20" s="2"/>
      <x:c r="K20" t="str">
        <x:f>TEXT(B20,"mmm d")</x:f>
        <x:v>Oct 12</x:v>
      </x:c>
      <x:c r="L20" t="n">
        <x:f>C20</x:f>
        <x:v>24</x:v>
      </x:c>
    </x:row>
    <x:row r="21" ht="22" customHeight="1">
      <x:c r="A21" s="2"/>
      <x:c r="B21" s="23" t="n">
        <x:f>B20+7</x:f>
        <x:v>46314</x:v>
      </x:c>
      <x:c r="C21" s="2" t="n">
        <x:f>COUNTIFS('Prepared'!L$8:L$213,B21,'Prepared'!J$8:J$213,"Included")</x:f>
        <x:v>24</x:v>
      </x:c>
      <x:c r="D21" s="22" t="n">
        <x:f>IF(C21=0,"n.a.",SUMIFS('Prepared'!K$8:K$213,'Prepared'!L$8:L$213,B21)/C21)</x:f>
        <x:v>0.8333333333333334</x:v>
      </x:c>
      <x:c r="E21" s="2"/>
      <x:c r="F21" s="2"/>
      <x:c r="G21" s="2"/>
      <x:c r="H21" s="2"/>
      <x:c r="I21" s="2"/>
      <x:c r="K21" t="str">
        <x:f>TEXT(B21,"mmm d")</x:f>
        <x:v>Oct 19</x:v>
      </x:c>
      <x:c r="L21" t="n">
        <x:f>C21</x:f>
        <x:v>24</x:v>
      </x:c>
    </x:row>
    <x:row r="22" ht="22" customHeight="1">
      <x:c r="A22" s="2"/>
      <x:c r="B22" s="2"/>
      <x:c r="C22" s="2"/>
      <x:c r="D22" s="2"/>
      <x:c r="E22" s="2"/>
      <x:c r="F22" s="2"/>
      <x:c r="G22" s="2"/>
      <x:c r="H22" s="2"/>
      <x:c r="I22" s="2"/>
    </x:row>
    <x:row r="23" ht="22" customHeight="1">
      <x:c r="A23" s="2"/>
      <x:c r="B23" s="2"/>
      <x:c r="C23" s="2"/>
      <x:c r="D23" s="2"/>
      <x:c r="E23" s="2"/>
      <x:c r="F23" s="2"/>
      <x:c r="G23" s="2"/>
      <x:c r="H23" s="2"/>
      <x:c r="I23" s="2"/>
    </x:row>
    <x:row r="24" ht="30" customHeight="1">
      <x:c r="A24" s="2"/>
      <x:c r="B24" s="6" t="str">
        <x:v>Team</x:v>
      </x:c>
      <x:c r="C24" s="6" t="str">
        <x:v>Effort hours</x:v>
      </x:c>
      <x:c r="D24" s="6" t="str">
        <x:v>Within SLA</x:v>
      </x:c>
      <x:c r="E24" s="2"/>
      <x:c r="F24" s="2"/>
      <x:c r="G24" s="2"/>
      <x:c r="H24" s="2"/>
      <x:c r="I24" s="2"/>
    </x:row>
    <x:row r="25" ht="22" customHeight="1">
      <x:c r="A25" s="2"/>
      <x:c r="B25" s="2" t="str">
        <x:v>SUPPORT</x:v>
      </x:c>
      <x:c r="C25" s="21" t="n">
        <x:f>SUMIFS('Prepared'!M$8:M$213,'Prepared'!D$8:D$213,B25)</x:f>
        <x:v>35.5</x:v>
      </x:c>
      <x:c r="D25" s="22" t="n">
        <x:f>IF(COUNTIFS('Prepared'!D$8:D$213,B25,'Prepared'!J$8:J$213,"Included")=0,"n.a.",SUMIFS('Prepared'!K$8:K$213,'Prepared'!D$8:D$213,B25)/COUNTIFS('Prepared'!D$8:D$213,B25,'Prepared'!J$8:J$213,"Included"))</x:f>
        <x:v>0.5172413793103449</x:v>
      </x:c>
      <x:c r="E25" s="2"/>
      <x:c r="F25" s="2" t="str">
        <x:v>SLA definition</x:v>
      </x:c>
      <x:c r="G25" s="2"/>
      <x:c r="H25" s="2"/>
      <x:c r="I25" s="2"/>
    </x:row>
    <x:row r="26" ht="22" customHeight="1">
      <x:c r="A26" s="2"/>
      <x:c r="B26" s="2" t="str">
        <x:v>LOGISTICS</x:v>
      </x:c>
      <x:c r="C26" s="21" t="n">
        <x:f>SUMIFS('Prepared'!M$8:M$213,'Prepared'!D$8:D$213,B26)</x:f>
        <x:v>43.5</x:v>
      </x:c>
      <x:c r="D26" s="22" t="n">
        <x:f>IF(COUNTIFS('Prepared'!D$8:D$213,B26,'Prepared'!J$8:J$213,"Included")=0,"n.a.",SUMIFS('Prepared'!K$8:K$213,'Prepared'!D$8:D$213,B26)/COUNTIFS('Prepared'!D$8:D$213,B26,'Prepared'!J$8:J$213,"Included"))</x:f>
        <x:v>1</x:v>
      </x:c>
      <x:c r="E26" s="2"/>
      <x:c r="F26" s="2" t="str">
        <x:v>Resolution hours &lt;= target hours.</x:v>
      </x:c>
      <x:c r="G26" s="2"/>
      <x:c r="H26" s="2"/>
      <x:c r="I26" s="2"/>
    </x:row>
    <x:row r="27" ht="22" customHeight="1">
      <x:c r="A27" s="2"/>
      <x:c r="B27" s="2" t="str">
        <x:v>FIELD</x:v>
      </x:c>
      <x:c r="C27" s="21" t="n">
        <x:f>SUMIFS('Prepared'!M$8:M$213,'Prepared'!D$8:D$213,B27)</x:f>
        <x:v>50</x:v>
      </x:c>
      <x:c r="D27" s="22" t="n">
        <x:f>IF(COUNTIFS('Prepared'!D$8:D$213,B27,'Prepared'!J$8:J$213,"Included")=0,"n.a.",SUMIFS('Prepared'!K$8:K$213,'Prepared'!D$8:D$213,B27)/COUNTIFS('Prepared'!D$8:D$213,B27,'Prepared'!J$8:J$213,"Included"))</x:f>
        <x:v>1</x:v>
      </x:c>
      <x:c r="E27" s="2"/>
      <x:c r="F27" s="2"/>
      <x:c r="G27" s="2"/>
      <x:c r="H27" s="2"/>
      <x:c r="I27" s="2"/>
    </x:row>
    <x:row r="28" ht="22" customHeight="1">
      <x:c r="A28" s="2"/>
      <x:c r="B28" s="2"/>
      <x:c r="C28" s="2"/>
      <x:c r="D28" s="2"/>
      <x:c r="E28" s="2"/>
      <x:c r="F28" s="2" t="str">
        <x:v>hello@taskunwind.com</x:v>
      </x:c>
      <x:c r="G28" s="2"/>
      <x:c r="H28" s="2"/>
      <x:c r="I28" s="2"/>
    </x:row>
    <x:row r="29" ht="22" customHeight="1">
      <x:c r="A29" s="2"/>
      <x:c r="B29" s="2"/>
      <x:c r="C29" s="2"/>
      <x:c r="D29" s="2"/>
      <x:c r="E29" s="2"/>
      <x:c r="F29" s="2" t="str">
        <x:v>taskunwind.com</x:v>
      </x:c>
      <x:c r="G29" s="2"/>
      <x:c r="H29" s="2"/>
      <x:c r="I29" s="2"/>
    </x:row>
    <x:row r="30" ht="22" customHeight="1">
      <x:c r="A30" s="2"/>
      <x:c r="B30" s="2"/>
      <x:c r="C30" s="2"/>
      <x:c r="D30" s="2"/>
      <x:c r="E30" s="2"/>
      <x:c r="F30" s="2"/>
      <x:c r="G30" s="2"/>
      <x:c r="H30" s="2"/>
      <x:c r="I30" s="2"/>
    </x:row>
    <x:row r="31" ht="22" customHeight="1">
      <x:c r="A31" s="2"/>
      <x:c r="B31" s="2" t="str">
        <x:v>Trace any result through Prepared to the original Source row.</x:v>
      </x:c>
      <x:c r="C31" s="2"/>
      <x:c r="D31" s="2"/>
      <x:c r="E31" s="2"/>
      <x:c r="F31" s="2"/>
      <x:c r="G31" s="2"/>
      <x:c r="H31" s="2"/>
      <x:c r="I31" s="2"/>
    </x:row>
    <x:row r="32" ht="22" customHeight="1">
      <x:c r="A32" s="2"/>
      <x:c r="B32" s="2"/>
      <x:c r="C32" s="2"/>
      <x:c r="D32" s="2"/>
      <x:c r="E32" s="2"/>
      <x:c r="F32" s="2"/>
      <x:c r="G32" s="2"/>
      <x:c r="H32" s="2"/>
      <x:c r="I32" s="2"/>
    </x:row>
    <x:row r="33" ht="22" customHeight="1">
      <x:c r="A33" s="2"/>
      <x:c r="B33" s="2" t="str">
        <x:v>Refresh instructions and validation rules are on Guide.</x:v>
      </x:c>
      <x:c r="C33" s="2"/>
      <x:c r="D33" s="2"/>
      <x:c r="E33" s="2"/>
      <x:c r="F33" s="2"/>
      <x:c r="G33" s="2"/>
      <x:c r="H33" s="2"/>
      <x:c r="I33" s="2"/>
    </x:row>
    <x:row r="34" ht="22" customHeight="1">
      <x:c r="A34" s="2"/>
      <x:c r="B34" s="2"/>
      <x:c r="C34" s="2"/>
      <x:c r="D34" s="2"/>
      <x:c r="E34" s="2"/>
      <x:c r="F34" s="2"/>
      <x:c r="G34" s="2"/>
      <x:c r="H34" s="2"/>
      <x:c r="I34" s="2"/>
    </x:row>
    <x:row r="35" ht="22" customHeight="1">
      <x:c r="A35" s="2"/>
      <x:c r="B35" s="2"/>
      <x:c r="C35" s="2"/>
      <x:c r="D35" s="2"/>
      <x:c r="E35" s="2"/>
      <x:c r="F35" s="2"/>
      <x:c r="G35" s="2"/>
      <x:c r="H35" s="2"/>
      <x:c r="I35" s="2"/>
    </x:row>
    <x:row r="36" ht="22" customHeight="1">
      <x:c r="A36" s="2"/>
      <x:c r="B36" s="2"/>
      <x:c r="C36" s="2"/>
      <x:c r="D36" s="2"/>
      <x:c r="E36" s="2"/>
      <x:c r="F36" s="2"/>
      <x:c r="G36" s="2"/>
      <x:c r="H36" s="2"/>
      <x:c r="I36" s="2"/>
    </x:row>
  </x:sheetData>
  <x:conditionalFormatting sqref="B10:D10">
    <x:cfRule type="expression" dxfId="1" priority="1">
      <x:formula>$D$10&gt;0</x:formula>
    </x:cfRule>
  </x:conditionalFormatting>
  <x:pageMargins left="0.7" right="0.7" top="0.75" bottom="0.75" header="0.3" footer="0.3"/>
  <x:drawing xmlns:r="http://schemas.openxmlformats.org/officeDocument/2006/relationships" r:id="R94103fa76ca748f2"/>
</x:worksheet>
</file>

<file path=xl/worksheets/sheet2.xml><?xml version="1.0" encoding="utf-8"?>
<x:worksheet xmlns:x="http://schemas.openxmlformats.org/spreadsheetml/2006/main">
  <x:sheetViews>
    <x:sheetView showGridLines="0" workbookViewId="0">
      <x:pane xSplit="2" ySplit="7" topLeftCell="C8" activePane="bottomRight" state="frozen"/>
    </x:sheetView>
  </x:sheetViews>
  <x:sheetFormatPr defaultRowHeight="15"/>
  <x:cols>
    <x:col min="1" max="1" width="12"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49" hidden="0" customWidth="1"/>
    <x:col min="10" max="10" width="19" hidden="0" customWidth="1"/>
    <x:col min="11" max="11" width="19" hidden="0" customWidth="1"/>
    <x:col min="12" max="12" width="19" hidden="0" customWidth="1"/>
    <x:col min="13" max="13" width="19" hidden="0" customWidth="1"/>
    <x:col min="14" max="14" width="19" hidden="0" customWidth="1"/>
  </x:cols>
  <x:sheetData>
    <x:row r="1" ht="22" customHeight="1">
      <x:c r="A1" s="2"/>
      <x:c r="B1" s="2"/>
      <x:c r="C1" s="2"/>
      <x:c r="D1" s="2"/>
      <x:c r="E1" s="2"/>
      <x:c r="F1" s="2"/>
      <x:c r="G1" s="2"/>
      <x:c r="H1" s="2"/>
      <x:c r="I1" s="2"/>
      <x:c r="J1" s="2"/>
      <x:c r="K1" s="2"/>
      <x:c r="L1" s="2"/>
      <x:c r="M1" s="2"/>
      <x:c r="N1" s="2"/>
    </x:row>
    <x:row r="2" ht="30" customHeight="1">
      <x:c r="A2" s="10" t="str">
        <x:v>Standardize and validate</x:v>
      </x:c>
      <x:c r="B2" s="2"/>
      <x:c r="C2" s="2"/>
      <x:c r="D2" s="2"/>
      <x:c r="E2" s="2"/>
      <x:c r="F2" s="2"/>
      <x:c r="G2" s="2"/>
      <x:c r="H2" s="2"/>
      <x:c r="I2" s="2"/>
      <x:c r="J2" s="2"/>
      <x:c r="K2" s="2"/>
      <x:c r="L2" s="2"/>
      <x:c r="M2" s="2"/>
      <x:c r="N2" s="2"/>
    </x:row>
    <x:row r="3" ht="22" customHeight="1">
      <x:c r="A3" s="2" t="str">
        <x:v>Filter Disposition to Review to inspect exceptions. Correct original values on Source.</x:v>
      </x:c>
      <x:c r="B3" s="2"/>
      <x:c r="C3" s="2"/>
      <x:c r="D3" s="2"/>
      <x:c r="E3" s="2"/>
      <x:c r="F3" s="2"/>
      <x:c r="G3" s="2"/>
      <x:c r="H3" s="2"/>
      <x:c r="I3" s="2"/>
      <x:c r="J3" s="2"/>
      <x:c r="K3" s="2"/>
      <x:c r="L3" s="2"/>
      <x:c r="M3" s="2"/>
      <x:c r="N3" s="2"/>
    </x:row>
    <x:row r="4" ht="22" customHeight="1">
      <x:c r="A4" s="2"/>
      <x:c r="B4" s="2"/>
      <x:c r="C4" s="2"/>
      <x:c r="D4" s="2"/>
      <x:c r="E4" s="2"/>
      <x:c r="F4" s="2"/>
      <x:c r="G4" s="2"/>
      <x:c r="H4" s="2"/>
      <x:c r="I4" s="2"/>
      <x:c r="J4" s="2"/>
      <x:c r="K4" s="2"/>
      <x:c r="L4" s="2"/>
      <x:c r="M4" s="2"/>
      <x:c r="N4" s="2"/>
    </x:row>
    <x:row r="5" ht="22" customHeight="1">
      <x:c r="A5" s="2"/>
      <x:c r="B5" s="2"/>
      <x:c r="C5" s="2"/>
      <x:c r="D5" s="2"/>
      <x:c r="E5" s="2"/>
      <x:c r="F5" s="2"/>
      <x:c r="G5" s="2"/>
      <x:c r="H5" s="2"/>
      <x:c r="I5" s="2"/>
      <x:c r="J5" s="2"/>
      <x:c r="K5" s="2"/>
      <x:c r="L5" s="2"/>
      <x:c r="M5" s="2"/>
      <x:c r="N5" s="2"/>
    </x:row>
    <x:row r="6" ht="22" customHeight="1">
      <x:c r="A6" s="2"/>
      <x:c r="B6" s="2"/>
      <x:c r="C6" s="2"/>
      <x:c r="D6" s="2"/>
      <x:c r="E6" s="2"/>
      <x:c r="F6" s="2"/>
      <x:c r="G6" s="2"/>
      <x:c r="H6" s="2"/>
      <x:c r="I6" s="2"/>
      <x:c r="J6" s="2"/>
      <x:c r="K6" s="2"/>
      <x:c r="L6" s="2"/>
      <x:c r="M6" s="2"/>
      <x:c r="N6" s="2"/>
    </x:row>
    <x:row r="7" ht="44" customHeight="1">
      <x:c r="A7" s="6" t="str">
        <x:v>Source row</x:v>
      </x:c>
      <x:c r="B7" s="6" t="str">
        <x:v>Ticket ID</x:v>
      </x:c>
      <x:c r="C7" s="6" t="str">
        <x:v>Closed date</x:v>
      </x:c>
      <x:c r="D7" s="6" t="str">
        <x:v>Team</x:v>
      </x:c>
      <x:c r="E7" s="6" t="str">
        <x:v>Effort hours</x:v>
      </x:c>
      <x:c r="F7" s="6" t="str">
        <x:v>Resolution hours</x:v>
      </x:c>
      <x:c r="G7" s="6" t="str">
        <x:v>SLA hours</x:v>
      </x:c>
      <x:c r="H7" s="6" t="str">
        <x:v>ID occurrences</x:v>
      </x:c>
      <x:c r="I7" s="6" t="str">
        <x:v>Review reason</x:v>
      </x:c>
      <x:c r="J7" s="6" t="str">
        <x:v>Disposition</x:v>
      </x:c>
      <x:c r="K7" s="6" t="str">
        <x:v>Within SLA</x:v>
      </x:c>
      <x:c r="L7" s="6" t="str">
        <x:v>Week starts</x:v>
      </x:c>
      <x:c r="M7" s="6" t="str">
        <x:v>Included effort</x:v>
      </x:c>
      <x:c r="N7" s="6" t="str">
        <x:v>Included resolution</x:v>
      </x:c>
    </x:row>
    <x:row r="8" ht="32" customHeight="1">
      <x:c r="A8" s="2" t="n">
        <x:f>IF(COUNTA('Source'!A2:F2)=0,"",2)</x:f>
        <x:v>2</x:v>
      </x:c>
      <x:c r="B8" s="2" t="str">
        <x:f>IF(A8="","",UPPER(TRIM('Source'!A2&amp;"")))</x:f>
        <x:v>TU-0001</x:v>
      </x:c>
      <x:c r="C8" s="13" t="n">
        <x:f>IF(OR(A8="",ISBLANK('Source'!B2)),"",'Source'!B2)</x:f>
        <x:v>46293</x:v>
      </x:c>
      <x:c r="D8" s="2" t="str">
        <x:f>IF(A8="","",UPPER(TRIM('Source'!C2&amp;"")))</x:f>
        <x:v>SUPPORT</x:v>
      </x:c>
      <x:c r="E8" s="15" t="n">
        <x:f>IF(OR(A8="",ISBLANK('Source'!D2)),"",'Source'!D2)</x:f>
        <x:v>0.5</x:v>
      </x:c>
      <x:c r="F8" s="15" t="n">
        <x:f>IF(OR(A8="",ISBLANK('Source'!E2)),"",'Source'!E2)</x:f>
        <x:v>2</x:v>
      </x:c>
      <x:c r="G8" s="15" t="n">
        <x:f>IF(OR(A8="",ISBLANK('Source'!F2)),"",'Source'!F2)</x:f>
        <x:v>24</x:v>
      </x:c>
      <x:c r="H8" s="2" t="n">
        <x:f>IF(A8="","",COUNTIFS($B$8:$B$213,B8))</x:f>
        <x:v>1</x:v>
      </x:c>
      <x:c r="I8" s="11" t="str">
        <x:f>IF(A8="","",IF(B8="","Missing ID; ","")&amp;IF(AND(B8&lt;&gt;"",H8&gt;1),"Duplicate ID; ","")&amp;IF(ISNUMBER(C8),IF(OR(C8&lt;'Report'!$C$5,C8&gt;'Report'!$F$5),"Outside reporting period; ",""),"Invalid date; ")&amp;IF(COUNTIFS('Guide'!$B$24:$B$26,D8)=0,"Unknown team; ","")&amp;IF(ISNUMBER(E8),IF(E8&lt;0,"Negative effort; ",""),"Missing/non-numeric effort; ")&amp;IF(ISNUMBER(F8),IF(F8&lt;0,"Negative resolution; ",""),"Missing/non-numeric resolution; ")&amp;IF(ISNUMBER(G8),IF(G8&lt;=0,"Invalid SLA target; ",""),"Missing/non-numeric SLA target; "))</x:f>
      </x:c>
      <x:c r="J8" s="2" t="str">
        <x:f>IF(A8="","",IF(I8="","Included","Review"))</x:f>
        <x:v>Included</x:v>
      </x:c>
      <x:c r="K8" s="2" t="n">
        <x:f>IF(J8="Included",IF(F8&lt;=G8,1,0),"")</x:f>
        <x:v>1</x:v>
      </x:c>
      <x:c r="L8" s="13" t="n">
        <x:f>IF(J8="Included",C8-WEEKDAY(C8,2)+1,"")</x:f>
        <x:v>46293</x:v>
      </x:c>
      <x:c r="M8" s="15" t="n">
        <x:f>IF(J8="Included",E8,0)</x:f>
        <x:v>0.5</x:v>
      </x:c>
      <x:c r="N8" s="15" t="n">
        <x:f>IF(J8="Included",F8,0)</x:f>
        <x:v>2</x:v>
      </x:c>
    </x:row>
    <x:row r="9" ht="32" customHeight="1">
      <x:c r="A9" s="2" t="n">
        <x:f>IF(COUNTA('Source'!A3:F3)=0,"",3)</x:f>
        <x:v>3</x:v>
      </x:c>
      <x:c r="B9" s="2" t="str">
        <x:f>IF(A9="","",UPPER(TRIM('Source'!A3&amp;"")))</x:f>
        <x:v>TU-0002</x:v>
      </x:c>
      <x:c r="C9" s="13" t="n">
        <x:f>IF(OR(A9="",ISBLANK('Source'!B3)),"",'Source'!B3)</x:f>
        <x:v>46294</x:v>
      </x:c>
      <x:c r="D9" s="2" t="str">
        <x:f>IF(A9="","",UPPER(TRIM('Source'!C3&amp;"")))</x:f>
        <x:v>LOGISTICS</x:v>
      </x:c>
      <x:c r="E9" s="15" t="n">
        <x:f>IF(OR(A9="",ISBLANK('Source'!D3)),"",'Source'!D3)</x:f>
        <x:v>0.75</x:v>
      </x:c>
      <x:c r="F9" s="15" t="n">
        <x:f>IF(OR(A9="",ISBLANK('Source'!E3)),"",'Source'!E3)</x:f>
        <x:v>9</x:v>
      </x:c>
      <x:c r="G9" s="15" t="n">
        <x:f>IF(OR(A9="",ISBLANK('Source'!F3)),"",'Source'!F3)</x:f>
        <x:v>48</x:v>
      </x:c>
      <x:c r="H9" s="2" t="n">
        <x:f>IF(A9="","",COUNTIFS($B$8:$B$213,B9))</x:f>
        <x:v>1</x:v>
      </x:c>
      <x:c r="I9" s="11" t="str">
        <x:f>IF(A9="","",IF(B9="","Missing ID; ","")&amp;IF(AND(B9&lt;&gt;"",H9&gt;1),"Duplicate ID; ","")&amp;IF(ISNUMBER(C9),IF(OR(C9&lt;'Report'!$C$5,C9&gt;'Report'!$F$5),"Outside reporting period; ",""),"Invalid date; ")&amp;IF(COUNTIFS('Guide'!$B$24:$B$26,D9)=0,"Unknown team; ","")&amp;IF(ISNUMBER(E9),IF(E9&lt;0,"Negative effort; ",""),"Missing/non-numeric effort; ")&amp;IF(ISNUMBER(F9),IF(F9&lt;0,"Negative resolution; ",""),"Missing/non-numeric resolution; ")&amp;IF(ISNUMBER(G9),IF(G9&lt;=0,"Invalid SLA target; ",""),"Missing/non-numeric SLA target; "))</x:f>
      </x:c>
      <x:c r="J9" s="2" t="str">
        <x:f>IF(A9="","",IF(I9="","Included","Review"))</x:f>
        <x:v>Included</x:v>
      </x:c>
      <x:c r="K9" s="2" t="n">
        <x:f>IF(J9="Included",IF(F9&lt;=G9,1,0),"")</x:f>
        <x:v>1</x:v>
      </x:c>
      <x:c r="L9" s="13" t="n">
        <x:f>IF(J9="Included",C9-WEEKDAY(C9,2)+1,"")</x:f>
        <x:v>46293</x:v>
      </x:c>
      <x:c r="M9" s="15" t="n">
        <x:f>IF(J9="Included",E9,0)</x:f>
        <x:v>0.75</x:v>
      </x:c>
      <x:c r="N9" s="15" t="n">
        <x:f>IF(J9="Included",F9,0)</x:f>
        <x:v>9</x:v>
      </x:c>
    </x:row>
    <x:row r="10" ht="32" customHeight="1">
      <x:c r="A10" s="2" t="n">
        <x:f>IF(COUNTA('Source'!A4:F4)=0,"",4)</x:f>
        <x:v>4</x:v>
      </x:c>
      <x:c r="B10" s="2" t="str">
        <x:f>IF(A10="","",UPPER(TRIM('Source'!A4&amp;"")))</x:f>
      </x:c>
      <x:c r="C10" s="13" t="n">
        <x:f>IF(OR(A10="",ISBLANK('Source'!B4)),"",'Source'!B4)</x:f>
        <x:v>46295</x:v>
      </x:c>
      <x:c r="D10" s="2" t="str">
        <x:f>IF(A10="","",UPPER(TRIM('Source'!C4&amp;"")))</x:f>
        <x:v>FIELD</x:v>
      </x:c>
      <x:c r="E10" s="15" t="n">
        <x:f>IF(OR(A10="",ISBLANK('Source'!D4)),"",'Source'!D4)</x:f>
        <x:v>1</x:v>
      </x:c>
      <x:c r="F10" s="15" t="n">
        <x:f>IF(OR(A10="",ISBLANK('Source'!E4)),"",'Source'!E4)</x:f>
        <x:v>16</x:v>
      </x:c>
      <x:c r="G10" s="15" t="n">
        <x:f>IF(OR(A10="",ISBLANK('Source'!F4)),"",'Source'!F4)</x:f>
        <x:v>48</x:v>
      </x:c>
      <x:c r="H10" s="2" t="n">
        <x:f>IF(A10="","",COUNTIFS($B$8:$B$213,B10))</x:f>
        <x:v>0</x:v>
      </x:c>
      <x:c r="I10" s="11" t="str">
        <x:f>IF(A10="","",IF(B10="","Missing ID; ","")&amp;IF(AND(B10&lt;&gt;"",H10&gt;1),"Duplicate ID; ","")&amp;IF(ISNUMBER(C10),IF(OR(C10&lt;'Report'!$C$5,C10&gt;'Report'!$F$5),"Outside reporting period; ",""),"Invalid date; ")&amp;IF(COUNTIFS('Guide'!$B$24:$B$26,D10)=0,"Unknown team; ","")&amp;IF(ISNUMBER(E10),IF(E10&lt;0,"Negative effort; ",""),"Missing/non-numeric effort; ")&amp;IF(ISNUMBER(F10),IF(F10&lt;0,"Negative resolution; ",""),"Missing/non-numeric resolution; ")&amp;IF(ISNUMBER(G10),IF(G10&lt;=0,"Invalid SLA target; ",""),"Missing/non-numeric SLA target; "))</x:f>
        <x:v>Missing ID; </x:v>
      </x:c>
      <x:c r="J10" s="2" t="str">
        <x:f>IF(A10="","",IF(I10="","Included","Review"))</x:f>
        <x:v>Review</x:v>
      </x:c>
      <x:c r="K10" s="2" t="str">
        <x:f>IF(J10="Included",IF(F10&lt;=G10,1,0),"")</x:f>
      </x:c>
      <x:c r="L10" s="13" t="str">
        <x:f>IF(J10="Included",C10-WEEKDAY(C10,2)+1,"")</x:f>
      </x:c>
      <x:c r="M10" s="15" t="n">
        <x:f>IF(J10="Included",E10,0)</x:f>
        <x:v>0</x:v>
      </x:c>
      <x:c r="N10" s="15" t="n">
        <x:f>IF(J10="Included",F10,0)</x:f>
        <x:v>0</x:v>
      </x:c>
    </x:row>
    <x:row r="11" ht="32" customHeight="1">
      <x:c r="A11" s="2" t="n">
        <x:f>IF(COUNTA('Source'!A5:F5)=0,"",5)</x:f>
        <x:v>5</x:v>
      </x:c>
      <x:c r="B11" s="2" t="str">
        <x:f>IF(A11="","",UPPER(TRIM('Source'!A5&amp;"")))</x:f>
        <x:v>TU-0004</x:v>
      </x:c>
      <x:c r="C11" s="13" t="n">
        <x:f>IF(OR(A11="",ISBLANK('Source'!B5)),"",'Source'!B5)</x:f>
        <x:v>46296</x:v>
      </x:c>
      <x:c r="D11" s="2" t="str">
        <x:f>IF(A11="","",UPPER(TRIM('Source'!C5&amp;"")))</x:f>
        <x:v>SUPPORT</x:v>
      </x:c>
      <x:c r="E11" s="15" t="n">
        <x:f>IF(OR(A11="",ISBLANK('Source'!D5)),"",'Source'!D5)</x:f>
        <x:v>1.25</x:v>
      </x:c>
      <x:c r="F11" s="15" t="n">
        <x:f>IF(OR(A11="",ISBLANK('Source'!E5)),"",'Source'!E5)</x:f>
        <x:v>23</x:v>
      </x:c>
      <x:c r="G11" s="15" t="n">
        <x:f>IF(OR(A11="",ISBLANK('Source'!F5)),"",'Source'!F5)</x:f>
        <x:v>24</x:v>
      </x:c>
      <x:c r="H11" s="2" t="n">
        <x:f>IF(A11="","",COUNTIFS($B$8:$B$213,B11))</x:f>
        <x:v>1</x:v>
      </x:c>
      <x:c r="I11" s="11" t="str">
        <x:f>IF(A11="","",IF(B11="","Missing ID; ","")&amp;IF(AND(B11&lt;&gt;"",H11&gt;1),"Duplicate ID; ","")&amp;IF(ISNUMBER(C11),IF(OR(C11&lt;'Report'!$C$5,C11&gt;'Report'!$F$5),"Outside reporting period; ",""),"Invalid date; ")&amp;IF(COUNTIFS('Guide'!$B$24:$B$26,D11)=0,"Unknown team; ","")&amp;IF(ISNUMBER(E11),IF(E11&lt;0,"Negative effort; ",""),"Missing/non-numeric effort; ")&amp;IF(ISNUMBER(F11),IF(F11&lt;0,"Negative resolution; ",""),"Missing/non-numeric resolution; ")&amp;IF(ISNUMBER(G11),IF(G11&lt;=0,"Invalid SLA target; ",""),"Missing/non-numeric SLA target; "))</x:f>
      </x:c>
      <x:c r="J11" s="2" t="str">
        <x:f>IF(A11="","",IF(I11="","Included","Review"))</x:f>
        <x:v>Included</x:v>
      </x:c>
      <x:c r="K11" s="2" t="n">
        <x:f>IF(J11="Included",IF(F11&lt;=G11,1,0),"")</x:f>
        <x:v>1</x:v>
      </x:c>
      <x:c r="L11" s="13" t="n">
        <x:f>IF(J11="Included",C11-WEEKDAY(C11,2)+1,"")</x:f>
        <x:v>46293</x:v>
      </x:c>
      <x:c r="M11" s="15" t="n">
        <x:f>IF(J11="Included",E11,0)</x:f>
        <x:v>1.25</x:v>
      </x:c>
      <x:c r="N11" s="15" t="n">
        <x:f>IF(J11="Included",F11,0)</x:f>
        <x:v>23</x:v>
      </x:c>
    </x:row>
    <x:row r="12" ht="32" customHeight="1">
      <x:c r="A12" s="2" t="n">
        <x:f>IF(COUNTA('Source'!A6:F6)=0,"",6)</x:f>
        <x:v>6</x:v>
      </x:c>
      <x:c r="B12" s="2" t="str">
        <x:f>IF(A12="","",UPPER(TRIM('Source'!A6&amp;"")))</x:f>
        <x:v>TU-0005</x:v>
      </x:c>
      <x:c r="C12" s="13" t="n">
        <x:f>IF(OR(A12="",ISBLANK('Source'!B6)),"",'Source'!B6)</x:f>
        <x:v>46297</x:v>
      </x:c>
      <x:c r="D12" s="2" t="str">
        <x:f>IF(A12="","",UPPER(TRIM('Source'!C6&amp;"")))</x:f>
        <x:v>LOGISTICS</x:v>
      </x:c>
      <x:c r="E12" s="15" t="n">
        <x:f>IF(OR(A12="",ISBLANK('Source'!D6)),"",'Source'!D6)</x:f>
        <x:v>1.5</x:v>
      </x:c>
      <x:c r="F12" s="15" t="n">
        <x:f>IF(OR(A12="",ISBLANK('Source'!E6)),"",'Source'!E6)</x:f>
        <x:v>30</x:v>
      </x:c>
      <x:c r="G12" s="15" t="n">
        <x:f>IF(OR(A12="",ISBLANK('Source'!F6)),"",'Source'!F6)</x:f>
        <x:v>48</x:v>
      </x:c>
      <x:c r="H12" s="2" t="n">
        <x:f>IF(A12="","",COUNTIFS($B$8:$B$213,B12))</x:f>
        <x:v>1</x:v>
      </x:c>
      <x:c r="I12" s="11" t="str">
        <x:f>IF(A12="","",IF(B12="","Missing ID; ","")&amp;IF(AND(B12&lt;&gt;"",H12&gt;1),"Duplicate ID; ","")&amp;IF(ISNUMBER(C12),IF(OR(C12&lt;'Report'!$C$5,C12&gt;'Report'!$F$5),"Outside reporting period; ",""),"Invalid date; ")&amp;IF(COUNTIFS('Guide'!$B$24:$B$26,D12)=0,"Unknown team; ","")&amp;IF(ISNUMBER(E12),IF(E12&lt;0,"Negative effort; ",""),"Missing/non-numeric effort; ")&amp;IF(ISNUMBER(F12),IF(F12&lt;0,"Negative resolution; ",""),"Missing/non-numeric resolution; ")&amp;IF(ISNUMBER(G12),IF(G12&lt;=0,"Invalid SLA target; ",""),"Missing/non-numeric SLA target; "))</x:f>
      </x:c>
      <x:c r="J12" s="2" t="str">
        <x:f>IF(A12="","",IF(I12="","Included","Review"))</x:f>
        <x:v>Included</x:v>
      </x:c>
      <x:c r="K12" s="2" t="n">
        <x:f>IF(J12="Included",IF(F12&lt;=G12,1,0),"")</x:f>
        <x:v>1</x:v>
      </x:c>
      <x:c r="L12" s="13" t="n">
        <x:f>IF(J12="Included",C12-WEEKDAY(C12,2)+1,"")</x:f>
        <x:v>46293</x:v>
      </x:c>
      <x:c r="M12" s="15" t="n">
        <x:f>IF(J12="Included",E12,0)</x:f>
        <x:v>1.5</x:v>
      </x:c>
      <x:c r="N12" s="15" t="n">
        <x:f>IF(J12="Included",F12,0)</x:f>
        <x:v>30</x:v>
      </x:c>
    </x:row>
    <x:row r="13" ht="32" customHeight="1">
      <x:c r="A13" s="2" t="n">
        <x:f>IF(COUNTA('Source'!A7:F7)=0,"",7)</x:f>
        <x:v>7</x:v>
      </x:c>
      <x:c r="B13" s="2" t="str">
        <x:f>IF(A13="","",UPPER(TRIM('Source'!A7&amp;"")))</x:f>
        <x:v>TU-0006</x:v>
      </x:c>
      <x:c r="C13" s="13" t="n">
        <x:f>IF(OR(A13="",ISBLANK('Source'!B7)),"",'Source'!B7)</x:f>
        <x:v>46293</x:v>
      </x:c>
      <x:c r="D13" s="2" t="str">
        <x:f>IF(A13="","",UPPER(TRIM('Source'!C7&amp;"")))</x:f>
        <x:v>FIELD</x:v>
      </x:c>
      <x:c r="E13" s="15" t="n">
        <x:f>IF(OR(A13="",ISBLANK('Source'!D7)),"",'Source'!D7)</x:f>
        <x:v>1.75</x:v>
      </x:c>
      <x:c r="F13" s="15" t="n">
        <x:f>IF(OR(A13="",ISBLANK('Source'!E7)),"",'Source'!E7)</x:f>
        <x:v>37</x:v>
      </x:c>
      <x:c r="G13" s="15" t="n">
        <x:f>IF(OR(A13="",ISBLANK('Source'!F7)),"",'Source'!F7)</x:f>
        <x:v>48</x:v>
      </x:c>
      <x:c r="H13" s="2" t="n">
        <x:f>IF(A13="","",COUNTIFS($B$8:$B$213,B13))</x:f>
        <x:v>1</x:v>
      </x:c>
      <x:c r="I13" s="11" t="str">
        <x:f>IF(A13="","",IF(B13="","Missing ID; ","")&amp;IF(AND(B13&lt;&gt;"",H13&gt;1),"Duplicate ID; ","")&amp;IF(ISNUMBER(C13),IF(OR(C13&lt;'Report'!$C$5,C13&gt;'Report'!$F$5),"Outside reporting period; ",""),"Invalid date; ")&amp;IF(COUNTIFS('Guide'!$B$24:$B$26,D13)=0,"Unknown team; ","")&amp;IF(ISNUMBER(E13),IF(E13&lt;0,"Negative effort; ",""),"Missing/non-numeric effort; ")&amp;IF(ISNUMBER(F13),IF(F13&lt;0,"Negative resolution; ",""),"Missing/non-numeric resolution; ")&amp;IF(ISNUMBER(G13),IF(G13&lt;=0,"Invalid SLA target; ",""),"Missing/non-numeric SLA target; "))</x:f>
      </x:c>
      <x:c r="J13" s="2" t="str">
        <x:f>IF(A13="","",IF(I13="","Included","Review"))</x:f>
        <x:v>Included</x:v>
      </x:c>
      <x:c r="K13" s="2" t="n">
        <x:f>IF(J13="Included",IF(F13&lt;=G13,1,0),"")</x:f>
        <x:v>1</x:v>
      </x:c>
      <x:c r="L13" s="13" t="n">
        <x:f>IF(J13="Included",C13-WEEKDAY(C13,2)+1,"")</x:f>
        <x:v>46293</x:v>
      </x:c>
      <x:c r="M13" s="15" t="n">
        <x:f>IF(J13="Included",E13,0)</x:f>
        <x:v>1.75</x:v>
      </x:c>
      <x:c r="N13" s="15" t="n">
        <x:f>IF(J13="Included",F13,0)</x:f>
        <x:v>37</x:v>
      </x:c>
    </x:row>
    <x:row r="14" ht="32" customHeight="1">
      <x:c r="A14" s="2" t="n">
        <x:f>IF(COUNTA('Source'!A8:F8)=0,"",8)</x:f>
        <x:v>8</x:v>
      </x:c>
      <x:c r="B14" s="2" t="str">
        <x:f>IF(A14="","",UPPER(TRIM('Source'!A8&amp;"")))</x:f>
        <x:v>TU-0007</x:v>
      </x:c>
      <x:c r="C14" s="13" t="n">
        <x:f>IF(OR(A14="",ISBLANK('Source'!B8)),"",'Source'!B8)</x:f>
        <x:v>46294</x:v>
      </x:c>
      <x:c r="D14" s="2" t="str">
        <x:f>IF(A14="","",UPPER(TRIM('Source'!C8&amp;"")))</x:f>
        <x:v>UNKNOWN</x:v>
      </x:c>
      <x:c r="E14" s="15" t="n">
        <x:f>IF(OR(A14="",ISBLANK('Source'!D8)),"",'Source'!D8)</x:f>
        <x:v>2</x:v>
      </x:c>
      <x:c r="F14" s="15" t="n">
        <x:f>IF(OR(A14="",ISBLANK('Source'!E8)),"",'Source'!E8)</x:f>
        <x:v>3</x:v>
      </x:c>
      <x:c r="G14" s="15" t="n">
        <x:f>IF(OR(A14="",ISBLANK('Source'!F8)),"",'Source'!F8)</x:f>
        <x:v>24</x:v>
      </x:c>
      <x:c r="H14" s="2" t="n">
        <x:f>IF(A14="","",COUNTIFS($B$8:$B$213,B14))</x:f>
        <x:v>1</x:v>
      </x:c>
      <x:c r="I14" s="11" t="str">
        <x:f>IF(A14="","",IF(B14="","Missing ID; ","")&amp;IF(AND(B14&lt;&gt;"",H14&gt;1),"Duplicate ID; ","")&amp;IF(ISNUMBER(C14),IF(OR(C14&lt;'Report'!$C$5,C14&gt;'Report'!$F$5),"Outside reporting period; ",""),"Invalid date; ")&amp;IF(COUNTIFS('Guide'!$B$24:$B$26,D14)=0,"Unknown team; ","")&amp;IF(ISNUMBER(E14),IF(E14&lt;0,"Negative effort; ",""),"Missing/non-numeric effort; ")&amp;IF(ISNUMBER(F14),IF(F14&lt;0,"Negative resolution; ",""),"Missing/non-numeric resolution; ")&amp;IF(ISNUMBER(G14),IF(G14&lt;=0,"Invalid SLA target; ",""),"Missing/non-numeric SLA target; "))</x:f>
        <x:v>Unknown team; </x:v>
      </x:c>
      <x:c r="J14" s="2" t="str">
        <x:f>IF(A14="","",IF(I14="","Included","Review"))</x:f>
        <x:v>Review</x:v>
      </x:c>
      <x:c r="K14" s="2" t="str">
        <x:f>IF(J14="Included",IF(F14&lt;=G14,1,0),"")</x:f>
      </x:c>
      <x:c r="L14" s="13" t="str">
        <x:f>IF(J14="Included",C14-WEEKDAY(C14,2)+1,"")</x:f>
      </x:c>
      <x:c r="M14" s="15" t="n">
        <x:f>IF(J14="Included",E14,0)</x:f>
        <x:v>0</x:v>
      </x:c>
      <x:c r="N14" s="15" t="n">
        <x:f>IF(J14="Included",F14,0)</x:f>
        <x:v>0</x:v>
      </x:c>
    </x:row>
    <x:row r="15" ht="32" customHeight="1">
      <x:c r="A15" s="2" t="n">
        <x:f>IF(COUNTA('Source'!A9:F9)=0,"",9)</x:f>
        <x:v>9</x:v>
      </x:c>
      <x:c r="B15" s="2" t="str">
        <x:f>IF(A15="","",UPPER(TRIM('Source'!A9&amp;"")))</x:f>
        <x:v>TU-0008</x:v>
      </x:c>
      <x:c r="C15" s="13" t="n">
        <x:f>IF(OR(A15="",ISBLANK('Source'!B9)),"",'Source'!B9)</x:f>
        <x:v>46295</x:v>
      </x:c>
      <x:c r="D15" s="2" t="str">
        <x:f>IF(A15="","",UPPER(TRIM('Source'!C9&amp;"")))</x:f>
        <x:v>LOGISTICS</x:v>
      </x:c>
      <x:c r="E15" s="15" t="n">
        <x:f>IF(OR(A15="",ISBLANK('Source'!D9)),"",'Source'!D9)</x:f>
        <x:v>2.25</x:v>
      </x:c>
      <x:c r="F15" s="15" t="n">
        <x:f>IF(OR(A15="",ISBLANK('Source'!E9)),"",'Source'!E9)</x:f>
        <x:v>10</x:v>
      </x:c>
      <x:c r="G15" s="15" t="n">
        <x:f>IF(OR(A15="",ISBLANK('Source'!F9)),"",'Source'!F9)</x:f>
        <x:v>48</x:v>
      </x:c>
      <x:c r="H15" s="2" t="n">
        <x:f>IF(A15="","",COUNTIFS($B$8:$B$213,B15))</x:f>
        <x:v>1</x:v>
      </x:c>
      <x:c r="I15" s="11" t="str">
        <x:f>IF(A15="","",IF(B15="","Missing ID; ","")&amp;IF(AND(B15&lt;&gt;"",H15&gt;1),"Duplicate ID; ","")&amp;IF(ISNUMBER(C15),IF(OR(C15&lt;'Report'!$C$5,C15&gt;'Report'!$F$5),"Outside reporting period; ",""),"Invalid date; ")&amp;IF(COUNTIFS('Guide'!$B$24:$B$26,D15)=0,"Unknown team; ","")&amp;IF(ISNUMBER(E15),IF(E15&lt;0,"Negative effort; ",""),"Missing/non-numeric effort; ")&amp;IF(ISNUMBER(F15),IF(F15&lt;0,"Negative resolution; ",""),"Missing/non-numeric resolution; ")&amp;IF(ISNUMBER(G15),IF(G15&lt;=0,"Invalid SLA target; ",""),"Missing/non-numeric SLA target; "))</x:f>
      </x:c>
      <x:c r="J15" s="2" t="str">
        <x:f>IF(A15="","",IF(I15="","Included","Review"))</x:f>
        <x:v>Included</x:v>
      </x:c>
      <x:c r="K15" s="2" t="n">
        <x:f>IF(J15="Included",IF(F15&lt;=G15,1,0),"")</x:f>
        <x:v>1</x:v>
      </x:c>
      <x:c r="L15" s="13" t="n">
        <x:f>IF(J15="Included",C15-WEEKDAY(C15,2)+1,"")</x:f>
        <x:v>46293</x:v>
      </x:c>
      <x:c r="M15" s="15" t="n">
        <x:f>IF(J15="Included",E15,0)</x:f>
        <x:v>2.25</x:v>
      </x:c>
      <x:c r="N15" s="15" t="n">
        <x:f>IF(J15="Included",F15,0)</x:f>
        <x:v>10</x:v>
      </x:c>
    </x:row>
    <x:row r="16" ht="32" customHeight="1">
      <x:c r="A16" s="2" t="n">
        <x:f>IF(COUNTA('Source'!A10:F10)=0,"",10)</x:f>
        <x:v>10</x:v>
      </x:c>
      <x:c r="B16" s="2" t="str">
        <x:f>IF(A16="","",UPPER(TRIM('Source'!A10&amp;"")))</x:f>
        <x:v>TU-0009</x:v>
      </x:c>
      <x:c r="C16" s="13" t="n">
        <x:f>IF(OR(A16="",ISBLANK('Source'!B10)),"",'Source'!B10)</x:f>
        <x:v>46296</x:v>
      </x:c>
      <x:c r="D16" s="2" t="str">
        <x:f>IF(A16="","",UPPER(TRIM('Source'!C10&amp;"")))</x:f>
        <x:v>FIELD</x:v>
      </x:c>
      <x:c r="E16" s="15" t="n">
        <x:f>IF(OR(A16="",ISBLANK('Source'!D10)),"",'Source'!D10)</x:f>
        <x:v>2.5</x:v>
      </x:c>
      <x:c r="F16" s="15" t="n">
        <x:f>IF(OR(A16="",ISBLANK('Source'!E10)),"",'Source'!E10)</x:f>
        <x:v>17</x:v>
      </x:c>
      <x:c r="G16" s="15" t="n">
        <x:f>IF(OR(A16="",ISBLANK('Source'!F10)),"",'Source'!F10)</x:f>
        <x:v>48</x:v>
      </x:c>
      <x:c r="H16" s="2" t="n">
        <x:f>IF(A16="","",COUNTIFS($B$8:$B$213,B16))</x:f>
        <x:v>1</x:v>
      </x:c>
      <x:c r="I16" s="11" t="str">
        <x:f>IF(A16="","",IF(B16="","Missing ID; ","")&amp;IF(AND(B16&lt;&gt;"",H16&gt;1),"Duplicate ID; ","")&amp;IF(ISNUMBER(C16),IF(OR(C16&lt;'Report'!$C$5,C16&gt;'Report'!$F$5),"Outside reporting period; ",""),"Invalid date; ")&amp;IF(COUNTIFS('Guide'!$B$24:$B$26,D16)=0,"Unknown team; ","")&amp;IF(ISNUMBER(E16),IF(E16&lt;0,"Negative effort; ",""),"Missing/non-numeric effort; ")&amp;IF(ISNUMBER(F16),IF(F16&lt;0,"Negative resolution; ",""),"Missing/non-numeric resolution; ")&amp;IF(ISNUMBER(G16),IF(G16&lt;=0,"Invalid SLA target; ",""),"Missing/non-numeric SLA target; "))</x:f>
      </x:c>
      <x:c r="J16" s="2" t="str">
        <x:f>IF(A16="","",IF(I16="","Included","Review"))</x:f>
        <x:v>Included</x:v>
      </x:c>
      <x:c r="K16" s="2" t="n">
        <x:f>IF(J16="Included",IF(F16&lt;=G16,1,0),"")</x:f>
        <x:v>1</x:v>
      </x:c>
      <x:c r="L16" s="13" t="n">
        <x:f>IF(J16="Included",C16-WEEKDAY(C16,2)+1,"")</x:f>
        <x:v>46293</x:v>
      </x:c>
      <x:c r="M16" s="15" t="n">
        <x:f>IF(J16="Included",E16,0)</x:f>
        <x:v>2.5</x:v>
      </x:c>
      <x:c r="N16" s="15" t="n">
        <x:f>IF(J16="Included",F16,0)</x:f>
        <x:v>17</x:v>
      </x:c>
    </x:row>
    <x:row r="17" ht="32" customHeight="1">
      <x:c r="A17" s="2" t="n">
        <x:f>IF(COUNTA('Source'!A11:F11)=0,"",11)</x:f>
        <x:v>11</x:v>
      </x:c>
      <x:c r="B17" s="2" t="str">
        <x:f>IF(A17="","",UPPER(TRIM('Source'!A11&amp;"")))</x:f>
        <x:v>TU-0010</x:v>
      </x:c>
      <x:c r="C17" s="13" t="n">
        <x:f>IF(OR(A17="",ISBLANK('Source'!B11)),"",'Source'!B11)</x:f>
        <x:v>46297</x:v>
      </x:c>
      <x:c r="D17" s="2" t="str">
        <x:f>IF(A17="","",UPPER(TRIM('Source'!C11&amp;"")))</x:f>
        <x:v>SUPPORT</x:v>
      </x:c>
      <x:c r="E17" s="15" t="n">
        <x:f>IF(OR(A17="",ISBLANK('Source'!D11)),"",'Source'!D11)</x:f>
        <x:v>0.5</x:v>
      </x:c>
      <x:c r="F17" s="15" t="n">
        <x:f>IF(OR(A17="",ISBLANK('Source'!E11)),"",'Source'!E11)</x:f>
        <x:v>24</x:v>
      </x:c>
      <x:c r="G17" s="15" t="n">
        <x:f>IF(OR(A17="",ISBLANK('Source'!F11)),"",'Source'!F11)</x:f>
        <x:v>24</x:v>
      </x:c>
      <x:c r="H17" s="2" t="n">
        <x:f>IF(A17="","",COUNTIFS($B$8:$B$213,B17))</x:f>
        <x:v>1</x:v>
      </x:c>
      <x:c r="I17" s="11" t="str">
        <x:f>IF(A17="","",IF(B17="","Missing ID; ","")&amp;IF(AND(B17&lt;&gt;"",H17&gt;1),"Duplicate ID; ","")&amp;IF(ISNUMBER(C17),IF(OR(C17&lt;'Report'!$C$5,C17&gt;'Report'!$F$5),"Outside reporting period; ",""),"Invalid date; ")&amp;IF(COUNTIFS('Guide'!$B$24:$B$26,D17)=0,"Unknown team; ","")&amp;IF(ISNUMBER(E17),IF(E17&lt;0,"Negative effort; ",""),"Missing/non-numeric effort; ")&amp;IF(ISNUMBER(F17),IF(F17&lt;0,"Negative resolution; ",""),"Missing/non-numeric resolution; ")&amp;IF(ISNUMBER(G17),IF(G17&lt;=0,"Invalid SLA target; ",""),"Missing/non-numeric SLA target; "))</x:f>
      </x:c>
      <x:c r="J17" s="2" t="str">
        <x:f>IF(A17="","",IF(I17="","Included","Review"))</x:f>
        <x:v>Included</x:v>
      </x:c>
      <x:c r="K17" s="2" t="n">
        <x:f>IF(J17="Included",IF(F17&lt;=G17,1,0),"")</x:f>
        <x:v>1</x:v>
      </x:c>
      <x:c r="L17" s="13" t="n">
        <x:f>IF(J17="Included",C17-WEEKDAY(C17,2)+1,"")</x:f>
        <x:v>46293</x:v>
      </x:c>
      <x:c r="M17" s="15" t="n">
        <x:f>IF(J17="Included",E17,0)</x:f>
        <x:v>0.5</x:v>
      </x:c>
      <x:c r="N17" s="15" t="n">
        <x:f>IF(J17="Included",F17,0)</x:f>
        <x:v>24</x:v>
      </x:c>
    </x:row>
    <x:row r="18" ht="32" customHeight="1">
      <x:c r="A18" s="2" t="n">
        <x:f>IF(COUNTA('Source'!A12:F12)=0,"",12)</x:f>
        <x:v>12</x:v>
      </x:c>
      <x:c r="B18" s="2" t="str">
        <x:f>IF(A18="","",UPPER(TRIM('Source'!A12&amp;"")))</x:f>
        <x:v>TU-0011</x:v>
      </x:c>
      <x:c r="C18" s="13" t="n">
        <x:f>IF(OR(A18="",ISBLANK('Source'!B12)),"",'Source'!B12)</x:f>
        <x:v>46293</x:v>
      </x:c>
      <x:c r="D18" s="2" t="str">
        <x:f>IF(A18="","",UPPER(TRIM('Source'!C12&amp;"")))</x:f>
        <x:v>LOGISTICS</x:v>
      </x:c>
      <x:c r="E18" s="15" t="n">
        <x:f>IF(OR(A18="",ISBLANK('Source'!D12)),"",'Source'!D12)</x:f>
        <x:v>-2</x:v>
      </x:c>
      <x:c r="F18" s="15" t="n">
        <x:f>IF(OR(A18="",ISBLANK('Source'!E12)),"",'Source'!E12)</x:f>
        <x:v>31</x:v>
      </x:c>
      <x:c r="G18" s="15" t="n">
        <x:f>IF(OR(A18="",ISBLANK('Source'!F12)),"",'Source'!F12)</x:f>
        <x:v>48</x:v>
      </x:c>
      <x:c r="H18" s="2" t="n">
        <x:f>IF(A18="","",COUNTIFS($B$8:$B$213,B18))</x:f>
        <x:v>1</x:v>
      </x:c>
      <x:c r="I18" s="11" t="str">
        <x:f>IF(A18="","",IF(B18="","Missing ID; ","")&amp;IF(AND(B18&lt;&gt;"",H18&gt;1),"Duplicate ID; ","")&amp;IF(ISNUMBER(C18),IF(OR(C18&lt;'Report'!$C$5,C18&gt;'Report'!$F$5),"Outside reporting period; ",""),"Invalid date; ")&amp;IF(COUNTIFS('Guide'!$B$24:$B$26,D18)=0,"Unknown team; ","")&amp;IF(ISNUMBER(E18),IF(E18&lt;0,"Negative effort; ",""),"Missing/non-numeric effort; ")&amp;IF(ISNUMBER(F18),IF(F18&lt;0,"Negative resolution; ",""),"Missing/non-numeric resolution; ")&amp;IF(ISNUMBER(G18),IF(G18&lt;=0,"Invalid SLA target; ",""),"Missing/non-numeric SLA target; "))</x:f>
        <x:v>Negative effort; </x:v>
      </x:c>
      <x:c r="J18" s="2" t="str">
        <x:f>IF(A18="","",IF(I18="","Included","Review"))</x:f>
        <x:v>Review</x:v>
      </x:c>
      <x:c r="K18" s="2" t="str">
        <x:f>IF(J18="Included",IF(F18&lt;=G18,1,0),"")</x:f>
      </x:c>
      <x:c r="L18" s="13" t="str">
        <x:f>IF(J18="Included",C18-WEEKDAY(C18,2)+1,"")</x:f>
      </x:c>
      <x:c r="M18" s="15" t="n">
        <x:f>IF(J18="Included",E18,0)</x:f>
        <x:v>0</x:v>
      </x:c>
      <x:c r="N18" s="15" t="n">
        <x:f>IF(J18="Included",F18,0)</x:f>
        <x:v>0</x:v>
      </x:c>
    </x:row>
    <x:row r="19" ht="32" customHeight="1">
      <x:c r="A19" s="2" t="n">
        <x:f>IF(COUNTA('Source'!A13:F13)=0,"",13)</x:f>
        <x:v>13</x:v>
      </x:c>
      <x:c r="B19" s="2" t="str">
        <x:f>IF(A19="","",UPPER(TRIM('Source'!A13&amp;"")))</x:f>
        <x:v>TU-0012</x:v>
      </x:c>
      <x:c r="C19" s="13" t="n">
        <x:f>IF(OR(A19="",ISBLANK('Source'!B13)),"",'Source'!B13)</x:f>
        <x:v>46294</x:v>
      </x:c>
      <x:c r="D19" s="2" t="str">
        <x:f>IF(A19="","",UPPER(TRIM('Source'!C13&amp;"")))</x:f>
        <x:v>FIELD</x:v>
      </x:c>
      <x:c r="E19" s="15" t="n">
        <x:f>IF(OR(A19="",ISBLANK('Source'!D13)),"",'Source'!D13)</x:f>
        <x:v>1</x:v>
      </x:c>
      <x:c r="F19" s="15" t="n">
        <x:f>IF(OR(A19="",ISBLANK('Source'!E13)),"",'Source'!E13)</x:f>
        <x:v>38</x:v>
      </x:c>
      <x:c r="G19" s="15" t="n">
        <x:f>IF(OR(A19="",ISBLANK('Source'!F13)),"",'Source'!F13)</x:f>
        <x:v>48</x:v>
      </x:c>
      <x:c r="H19" s="2" t="n">
        <x:f>IF(A19="","",COUNTIFS($B$8:$B$213,B19))</x:f>
        <x:v>1</x:v>
      </x:c>
      <x:c r="I19" s="11" t="str">
        <x:f>IF(A19="","",IF(B19="","Missing ID; ","")&amp;IF(AND(B19&lt;&gt;"",H19&gt;1),"Duplicate ID; ","")&amp;IF(ISNUMBER(C19),IF(OR(C19&lt;'Report'!$C$5,C19&gt;'Report'!$F$5),"Outside reporting period; ",""),"Invalid date; ")&amp;IF(COUNTIFS('Guide'!$B$24:$B$26,D19)=0,"Unknown team; ","")&amp;IF(ISNUMBER(E19),IF(E19&lt;0,"Negative effort; ",""),"Missing/non-numeric effort; ")&amp;IF(ISNUMBER(F19),IF(F19&lt;0,"Negative resolution; ",""),"Missing/non-numeric resolution; ")&amp;IF(ISNUMBER(G19),IF(G19&lt;=0,"Invalid SLA target; ",""),"Missing/non-numeric SLA target; "))</x:f>
      </x:c>
      <x:c r="J19" s="2" t="str">
        <x:f>IF(A19="","",IF(I19="","Included","Review"))</x:f>
        <x:v>Included</x:v>
      </x:c>
      <x:c r="K19" s="2" t="n">
        <x:f>IF(J19="Included",IF(F19&lt;=G19,1,0),"")</x:f>
        <x:v>1</x:v>
      </x:c>
      <x:c r="L19" s="13" t="n">
        <x:f>IF(J19="Included",C19-WEEKDAY(C19,2)+1,"")</x:f>
        <x:v>46293</x:v>
      </x:c>
      <x:c r="M19" s="15" t="n">
        <x:f>IF(J19="Included",E19,0)</x:f>
        <x:v>1</x:v>
      </x:c>
      <x:c r="N19" s="15" t="n">
        <x:f>IF(J19="Included",F19,0)</x:f>
        <x:v>38</x:v>
      </x:c>
    </x:row>
    <x:row r="20" ht="32" customHeight="1">
      <x:c r="A20" s="2" t="n">
        <x:f>IF(COUNTA('Source'!A14:F14)=0,"",14)</x:f>
        <x:v>14</x:v>
      </x:c>
      <x:c r="B20" s="2" t="str">
        <x:f>IF(A20="","",UPPER(TRIM('Source'!A14&amp;"")))</x:f>
        <x:v>TU-0013</x:v>
      </x:c>
      <x:c r="C20" s="13" t="n">
        <x:f>IF(OR(A20="",ISBLANK('Source'!B14)),"",'Source'!B14)</x:f>
        <x:v>46295</x:v>
      </x:c>
      <x:c r="D20" s="2" t="str">
        <x:f>IF(A20="","",UPPER(TRIM('Source'!C14&amp;"")))</x:f>
        <x:v>SUPPORT</x:v>
      </x:c>
      <x:c r="E20" s="15" t="n">
        <x:f>IF(OR(A20="",ISBLANK('Source'!D14)),"",'Source'!D14)</x:f>
        <x:v>1.25</x:v>
      </x:c>
      <x:c r="F20" s="15" t="n">
        <x:f>IF(OR(A20="",ISBLANK('Source'!E14)),"",'Source'!E14)</x:f>
        <x:v>4</x:v>
      </x:c>
      <x:c r="G20" s="15" t="n">
        <x:f>IF(OR(A20="",ISBLANK('Source'!F14)),"",'Source'!F14)</x:f>
        <x:v>24</x:v>
      </x:c>
      <x:c r="H20" s="2" t="n">
        <x:f>IF(A20="","",COUNTIFS($B$8:$B$213,B20))</x:f>
        <x:v>1</x:v>
      </x:c>
      <x:c r="I20" s="11" t="str">
        <x:f>IF(A20="","",IF(B20="","Missing ID; ","")&amp;IF(AND(B20&lt;&gt;"",H20&gt;1),"Duplicate ID; ","")&amp;IF(ISNUMBER(C20),IF(OR(C20&lt;'Report'!$C$5,C20&gt;'Report'!$F$5),"Outside reporting period; ",""),"Invalid date; ")&amp;IF(COUNTIFS('Guide'!$B$24:$B$26,D20)=0,"Unknown team; ","")&amp;IF(ISNUMBER(E20),IF(E20&lt;0,"Negative effort; ",""),"Missing/non-numeric effort; ")&amp;IF(ISNUMBER(F20),IF(F20&lt;0,"Negative resolution; ",""),"Missing/non-numeric resolution; ")&amp;IF(ISNUMBER(G20),IF(G20&lt;=0,"Invalid SLA target; ",""),"Missing/non-numeric SLA target; "))</x:f>
      </x:c>
      <x:c r="J20" s="2" t="str">
        <x:f>IF(A20="","",IF(I20="","Included","Review"))</x:f>
        <x:v>Included</x:v>
      </x:c>
      <x:c r="K20" s="2" t="n">
        <x:f>IF(J20="Included",IF(F20&lt;=G20,1,0),"")</x:f>
        <x:v>1</x:v>
      </x:c>
      <x:c r="L20" s="13" t="n">
        <x:f>IF(J20="Included",C20-WEEKDAY(C20,2)+1,"")</x:f>
        <x:v>46293</x:v>
      </x:c>
      <x:c r="M20" s="15" t="n">
        <x:f>IF(J20="Included",E20,0)</x:f>
        <x:v>1.25</x:v>
      </x:c>
      <x:c r="N20" s="15" t="n">
        <x:f>IF(J20="Included",F20,0)</x:f>
        <x:v>4</x:v>
      </x:c>
    </x:row>
    <x:row r="21" ht="32" customHeight="1">
      <x:c r="A21" s="2" t="n">
        <x:f>IF(COUNTA('Source'!A15:F15)=0,"",15)</x:f>
        <x:v>15</x:v>
      </x:c>
      <x:c r="B21" s="2" t="str">
        <x:f>IF(A21="","",UPPER(TRIM('Source'!A15&amp;"")))</x:f>
        <x:v>TU-0014</x:v>
      </x:c>
      <x:c r="C21" s="13" t="n">
        <x:f>IF(OR(A21="",ISBLANK('Source'!B15)),"",'Source'!B15)</x:f>
        <x:v>46296</x:v>
      </x:c>
      <x:c r="D21" s="2" t="str">
        <x:f>IF(A21="","",UPPER(TRIM('Source'!C15&amp;"")))</x:f>
        <x:v>LOGISTICS</x:v>
      </x:c>
      <x:c r="E21" s="15" t="n">
        <x:f>IF(OR(A21="",ISBLANK('Source'!D15)),"",'Source'!D15)</x:f>
        <x:v>1.5</x:v>
      </x:c>
      <x:c r="F21" s="15" t="n">
        <x:f>IF(OR(A21="",ISBLANK('Source'!E15)),"",'Source'!E15)</x:f>
        <x:v>11</x:v>
      </x:c>
      <x:c r="G21" s="15" t="n">
        <x:f>IF(OR(A21="",ISBLANK('Source'!F15)),"",'Source'!F15)</x:f>
        <x:v>48</x:v>
      </x:c>
      <x:c r="H21" s="2" t="n">
        <x:f>IF(A21="","",COUNTIFS($B$8:$B$213,B21))</x:f>
        <x:v>1</x:v>
      </x:c>
      <x:c r="I21" s="11" t="str">
        <x:f>IF(A21="","",IF(B21="","Missing ID; ","")&amp;IF(AND(B21&lt;&gt;"",H21&gt;1),"Duplicate ID; ","")&amp;IF(ISNUMBER(C21),IF(OR(C21&lt;'Report'!$C$5,C21&gt;'Report'!$F$5),"Outside reporting period; ",""),"Invalid date; ")&amp;IF(COUNTIFS('Guide'!$B$24:$B$26,D21)=0,"Unknown team; ","")&amp;IF(ISNUMBER(E21),IF(E21&lt;0,"Negative effort; ",""),"Missing/non-numeric effort; ")&amp;IF(ISNUMBER(F21),IF(F21&lt;0,"Negative resolution; ",""),"Missing/non-numeric resolution; ")&amp;IF(ISNUMBER(G21),IF(G21&lt;=0,"Invalid SLA target; ",""),"Missing/non-numeric SLA target; "))</x:f>
      </x:c>
      <x:c r="J21" s="2" t="str">
        <x:f>IF(A21="","",IF(I21="","Included","Review"))</x:f>
        <x:v>Included</x:v>
      </x:c>
      <x:c r="K21" s="2" t="n">
        <x:f>IF(J21="Included",IF(F21&lt;=G21,1,0),"")</x:f>
        <x:v>1</x:v>
      </x:c>
      <x:c r="L21" s="13" t="n">
        <x:f>IF(J21="Included",C21-WEEKDAY(C21,2)+1,"")</x:f>
        <x:v>46293</x:v>
      </x:c>
      <x:c r="M21" s="15" t="n">
        <x:f>IF(J21="Included",E21,0)</x:f>
        <x:v>1.5</x:v>
      </x:c>
      <x:c r="N21" s="15" t="n">
        <x:f>IF(J21="Included",F21,0)</x:f>
        <x:v>11</x:v>
      </x:c>
    </x:row>
    <x:row r="22" ht="32" customHeight="1">
      <x:c r="A22" s="2" t="n">
        <x:f>IF(COUNTA('Source'!A16:F16)=0,"",16)</x:f>
        <x:v>16</x:v>
      </x:c>
      <x:c r="B22" s="2" t="str">
        <x:f>IF(A22="","",UPPER(TRIM('Source'!A16&amp;"")))</x:f>
        <x:v>TU-0015</x:v>
      </x:c>
      <x:c r="C22" s="13" t="n">
        <x:f>IF(OR(A22="",ISBLANK('Source'!B16)),"",'Source'!B16)</x:f>
        <x:v>46297</x:v>
      </x:c>
      <x:c r="D22" s="2" t="str">
        <x:f>IF(A22="","",UPPER(TRIM('Source'!C16&amp;"")))</x:f>
        <x:v>FIELD</x:v>
      </x:c>
      <x:c r="E22" s="15" t="str">
        <x:f>IF(OR(A22="",ISBLANK('Source'!D16)),"",'Source'!D16)</x:f>
      </x:c>
      <x:c r="F22" s="15" t="n">
        <x:f>IF(OR(A22="",ISBLANK('Source'!E16)),"",'Source'!E16)</x:f>
        <x:v>18</x:v>
      </x:c>
      <x:c r="G22" s="15" t="n">
        <x:f>IF(OR(A22="",ISBLANK('Source'!F16)),"",'Source'!F16)</x:f>
        <x:v>48</x:v>
      </x:c>
      <x:c r="H22" s="2" t="n">
        <x:f>IF(A22="","",COUNTIFS($B$8:$B$213,B22))</x:f>
        <x:v>1</x:v>
      </x:c>
      <x:c r="I22" s="11" t="str">
        <x:f>IF(A22="","",IF(B22="","Missing ID; ","")&amp;IF(AND(B22&lt;&gt;"",H22&gt;1),"Duplicate ID; ","")&amp;IF(ISNUMBER(C22),IF(OR(C22&lt;'Report'!$C$5,C22&gt;'Report'!$F$5),"Outside reporting period; ",""),"Invalid date; ")&amp;IF(COUNTIFS('Guide'!$B$24:$B$26,D22)=0,"Unknown team; ","")&amp;IF(ISNUMBER(E22),IF(E22&lt;0,"Negative effort; ",""),"Missing/non-numeric effort; ")&amp;IF(ISNUMBER(F22),IF(F22&lt;0,"Negative resolution; ",""),"Missing/non-numeric resolution; ")&amp;IF(ISNUMBER(G22),IF(G22&lt;=0,"Invalid SLA target; ",""),"Missing/non-numeric SLA target; "))</x:f>
        <x:v>Missing/non-numeric effort; </x:v>
      </x:c>
      <x:c r="J22" s="2" t="str">
        <x:f>IF(A22="","",IF(I22="","Included","Review"))</x:f>
        <x:v>Review</x:v>
      </x:c>
      <x:c r="K22" s="2" t="str">
        <x:f>IF(J22="Included",IF(F22&lt;=G22,1,0),"")</x:f>
      </x:c>
      <x:c r="L22" s="13" t="str">
        <x:f>IF(J22="Included",C22-WEEKDAY(C22,2)+1,"")</x:f>
      </x:c>
      <x:c r="M22" s="15" t="n">
        <x:f>IF(J22="Included",E22,0)</x:f>
        <x:v>0</x:v>
      </x:c>
      <x:c r="N22" s="15" t="n">
        <x:f>IF(J22="Included",F22,0)</x:f>
        <x:v>0</x:v>
      </x:c>
    </x:row>
    <x:row r="23" ht="32" customHeight="1">
      <x:c r="A23" s="2" t="n">
        <x:f>IF(COUNTA('Source'!A17:F17)=0,"",17)</x:f>
        <x:v>17</x:v>
      </x:c>
      <x:c r="B23" s="2" t="str">
        <x:f>IF(A23="","",UPPER(TRIM('Source'!A17&amp;"")))</x:f>
        <x:v>TU-0016</x:v>
      </x:c>
      <x:c r="C23" s="13" t="n">
        <x:f>IF(OR(A23="",ISBLANK('Source'!B17)),"",'Source'!B17)</x:f>
        <x:v>46293</x:v>
      </x:c>
      <x:c r="D23" s="2" t="str">
        <x:f>IF(A23="","",UPPER(TRIM('Source'!C17&amp;"")))</x:f>
        <x:v>SUPPORT</x:v>
      </x:c>
      <x:c r="E23" s="15" t="n">
        <x:f>IF(OR(A23="",ISBLANK('Source'!D17)),"",'Source'!D17)</x:f>
        <x:v>2</x:v>
      </x:c>
      <x:c r="F23" s="15" t="n">
        <x:f>IF(OR(A23="",ISBLANK('Source'!E17)),"",'Source'!E17)</x:f>
        <x:v>25</x:v>
      </x:c>
      <x:c r="G23" s="15" t="n">
        <x:f>IF(OR(A23="",ISBLANK('Source'!F17)),"",'Source'!F17)</x:f>
        <x:v>24</x:v>
      </x:c>
      <x:c r="H23" s="2" t="n">
        <x:f>IF(A23="","",COUNTIFS($B$8:$B$213,B23))</x:f>
        <x:v>1</x:v>
      </x:c>
      <x:c r="I23" s="11" t="str">
        <x:f>IF(A23="","",IF(B23="","Missing ID; ","")&amp;IF(AND(B23&lt;&gt;"",H23&gt;1),"Duplicate ID; ","")&amp;IF(ISNUMBER(C23),IF(OR(C23&lt;'Report'!$C$5,C23&gt;'Report'!$F$5),"Outside reporting period; ",""),"Invalid date; ")&amp;IF(COUNTIFS('Guide'!$B$24:$B$26,D23)=0,"Unknown team; ","")&amp;IF(ISNUMBER(E23),IF(E23&lt;0,"Negative effort; ",""),"Missing/non-numeric effort; ")&amp;IF(ISNUMBER(F23),IF(F23&lt;0,"Negative resolution; ",""),"Missing/non-numeric resolution; ")&amp;IF(ISNUMBER(G23),IF(G23&lt;=0,"Invalid SLA target; ",""),"Missing/non-numeric SLA target; "))</x:f>
      </x:c>
      <x:c r="J23" s="2" t="str">
        <x:f>IF(A23="","",IF(I23="","Included","Review"))</x:f>
        <x:v>Included</x:v>
      </x:c>
      <x:c r="K23" s="2" t="n">
        <x:f>IF(J23="Included",IF(F23&lt;=G23,1,0),"")</x:f>
        <x:v>0</x:v>
      </x:c>
      <x:c r="L23" s="13" t="n">
        <x:f>IF(J23="Included",C23-WEEKDAY(C23,2)+1,"")</x:f>
        <x:v>46293</x:v>
      </x:c>
      <x:c r="M23" s="15" t="n">
        <x:f>IF(J23="Included",E23,0)</x:f>
        <x:v>2</x:v>
      </x:c>
      <x:c r="N23" s="15" t="n">
        <x:f>IF(J23="Included",F23,0)</x:f>
        <x:v>25</x:v>
      </x:c>
    </x:row>
    <x:row r="24" ht="32" customHeight="1">
      <x:c r="A24" s="2" t="n">
        <x:f>IF(COUNTA('Source'!A18:F18)=0,"",18)</x:f>
        <x:v>18</x:v>
      </x:c>
      <x:c r="B24" s="2" t="str">
        <x:f>IF(A24="","",UPPER(TRIM('Source'!A18&amp;"")))</x:f>
        <x:v>TU-0017</x:v>
      </x:c>
      <x:c r="C24" s="13" t="n">
        <x:f>IF(OR(A24="",ISBLANK('Source'!B18)),"",'Source'!B18)</x:f>
        <x:v>46294</x:v>
      </x:c>
      <x:c r="D24" s="2" t="str">
        <x:f>IF(A24="","",UPPER(TRIM('Source'!C18&amp;"")))</x:f>
        <x:v>LOGISTICS</x:v>
      </x:c>
      <x:c r="E24" s="15" t="n">
        <x:f>IF(OR(A24="",ISBLANK('Source'!D18)),"",'Source'!D18)</x:f>
        <x:v>2.25</x:v>
      </x:c>
      <x:c r="F24" s="15" t="n">
        <x:f>IF(OR(A24="",ISBLANK('Source'!E18)),"",'Source'!E18)</x:f>
        <x:v>32</x:v>
      </x:c>
      <x:c r="G24" s="15" t="n">
        <x:f>IF(OR(A24="",ISBLANK('Source'!F18)),"",'Source'!F18)</x:f>
        <x:v>48</x:v>
      </x:c>
      <x:c r="H24" s="2" t="n">
        <x:f>IF(A24="","",COUNTIFS($B$8:$B$213,B24))</x:f>
        <x:v>1</x:v>
      </x:c>
      <x:c r="I24" s="11" t="str">
        <x:f>IF(A24="","",IF(B24="","Missing ID; ","")&amp;IF(AND(B24&lt;&gt;"",H24&gt;1),"Duplicate ID; ","")&amp;IF(ISNUMBER(C24),IF(OR(C24&lt;'Report'!$C$5,C24&gt;'Report'!$F$5),"Outside reporting period; ",""),"Invalid date; ")&amp;IF(COUNTIFS('Guide'!$B$24:$B$26,D24)=0,"Unknown team; ","")&amp;IF(ISNUMBER(E24),IF(E24&lt;0,"Negative effort; ",""),"Missing/non-numeric effort; ")&amp;IF(ISNUMBER(F24),IF(F24&lt;0,"Negative resolution; ",""),"Missing/non-numeric resolution; ")&amp;IF(ISNUMBER(G24),IF(G24&lt;=0,"Invalid SLA target; ",""),"Missing/non-numeric SLA target; "))</x:f>
      </x:c>
      <x:c r="J24" s="2" t="str">
        <x:f>IF(A24="","",IF(I24="","Included","Review"))</x:f>
        <x:v>Included</x:v>
      </x:c>
      <x:c r="K24" s="2" t="n">
        <x:f>IF(J24="Included",IF(F24&lt;=G24,1,0),"")</x:f>
        <x:v>1</x:v>
      </x:c>
      <x:c r="L24" s="13" t="n">
        <x:f>IF(J24="Included",C24-WEEKDAY(C24,2)+1,"")</x:f>
        <x:v>46293</x:v>
      </x:c>
      <x:c r="M24" s="15" t="n">
        <x:f>IF(J24="Included",E24,0)</x:f>
        <x:v>2.25</x:v>
      </x:c>
      <x:c r="N24" s="15" t="n">
        <x:f>IF(J24="Included",F24,0)</x:f>
        <x:v>32</x:v>
      </x:c>
    </x:row>
    <x:row r="25" ht="32" customHeight="1">
      <x:c r="A25" s="2" t="n">
        <x:f>IF(COUNTA('Source'!A19:F19)=0,"",19)</x:f>
        <x:v>19</x:v>
      </x:c>
      <x:c r="B25" s="2" t="str">
        <x:f>IF(A25="","",UPPER(TRIM('Source'!A19&amp;"")))</x:f>
        <x:v>TU-0018</x:v>
      </x:c>
      <x:c r="C25" s="13" t="n">
        <x:f>IF(OR(A25="",ISBLANK('Source'!B19)),"",'Source'!B19)</x:f>
        <x:v>46295</x:v>
      </x:c>
      <x:c r="D25" s="2" t="str">
        <x:f>IF(A25="","",UPPER(TRIM('Source'!C19&amp;"")))</x:f>
        <x:v>FIELD</x:v>
      </x:c>
      <x:c r="E25" s="15" t="n">
        <x:f>IF(OR(A25="",ISBLANK('Source'!D19)),"",'Source'!D19)</x:f>
        <x:v>2.5</x:v>
      </x:c>
      <x:c r="F25" s="15" t="n">
        <x:f>IF(OR(A25="",ISBLANK('Source'!E19)),"",'Source'!E19)</x:f>
        <x:v>39</x:v>
      </x:c>
      <x:c r="G25" s="15" t="n">
        <x:f>IF(OR(A25="",ISBLANK('Source'!F19)),"",'Source'!F19)</x:f>
        <x:v>48</x:v>
      </x:c>
      <x:c r="H25" s="2" t="n">
        <x:f>IF(A25="","",COUNTIFS($B$8:$B$213,B25))</x:f>
        <x:v>1</x:v>
      </x:c>
      <x:c r="I25" s="11" t="str">
        <x:f>IF(A25="","",IF(B25="","Missing ID; ","")&amp;IF(AND(B25&lt;&gt;"",H25&gt;1),"Duplicate ID; ","")&amp;IF(ISNUMBER(C25),IF(OR(C25&lt;'Report'!$C$5,C25&gt;'Report'!$F$5),"Outside reporting period; ",""),"Invalid date; ")&amp;IF(COUNTIFS('Guide'!$B$24:$B$26,D25)=0,"Unknown team; ","")&amp;IF(ISNUMBER(E25),IF(E25&lt;0,"Negative effort; ",""),"Missing/non-numeric effort; ")&amp;IF(ISNUMBER(F25),IF(F25&lt;0,"Negative resolution; ",""),"Missing/non-numeric resolution; ")&amp;IF(ISNUMBER(G25),IF(G25&lt;=0,"Invalid SLA target; ",""),"Missing/non-numeric SLA target; "))</x:f>
      </x:c>
      <x:c r="J25" s="2" t="str">
        <x:f>IF(A25="","",IF(I25="","Included","Review"))</x:f>
        <x:v>Included</x:v>
      </x:c>
      <x:c r="K25" s="2" t="n">
        <x:f>IF(J25="Included",IF(F25&lt;=G25,1,0),"")</x:f>
        <x:v>1</x:v>
      </x:c>
      <x:c r="L25" s="13" t="n">
        <x:f>IF(J25="Included",C25-WEEKDAY(C25,2)+1,"")</x:f>
        <x:v>46293</x:v>
      </x:c>
      <x:c r="M25" s="15" t="n">
        <x:f>IF(J25="Included",E25,0)</x:f>
        <x:v>2.5</x:v>
      </x:c>
      <x:c r="N25" s="15" t="n">
        <x:f>IF(J25="Included",F25,0)</x:f>
        <x:v>39</x:v>
      </x:c>
    </x:row>
    <x:row r="26" ht="32" customHeight="1">
      <x:c r="A26" s="2" t="n">
        <x:f>IF(COUNTA('Source'!A20:F20)=0,"",20)</x:f>
        <x:v>20</x:v>
      </x:c>
      <x:c r="B26" s="2" t="str">
        <x:f>IF(A26="","",UPPER(TRIM('Source'!A20&amp;"")))</x:f>
        <x:v>TU-0019</x:v>
      </x:c>
      <x:c r="C26" s="13" t="str">
        <x:f>IF(OR(A26="",ISBLANK('Source'!B20)),"",'Source'!B20)</x:f>
        <x:v>not a date</x:v>
      </x:c>
      <x:c r="D26" s="2" t="str">
        <x:f>IF(A26="","",UPPER(TRIM('Source'!C20&amp;"")))</x:f>
        <x:v>SUPPORT</x:v>
      </x:c>
      <x:c r="E26" s="15" t="n">
        <x:f>IF(OR(A26="",ISBLANK('Source'!D20)),"",'Source'!D20)</x:f>
        <x:v>0.5</x:v>
      </x:c>
      <x:c r="F26" s="15" t="n">
        <x:f>IF(OR(A26="",ISBLANK('Source'!E20)),"",'Source'!E20)</x:f>
        <x:v>5</x:v>
      </x:c>
      <x:c r="G26" s="15" t="n">
        <x:f>IF(OR(A26="",ISBLANK('Source'!F20)),"",'Source'!F20)</x:f>
        <x:v>24</x:v>
      </x:c>
      <x:c r="H26" s="2" t="n">
        <x:f>IF(A26="","",COUNTIFS($B$8:$B$213,B26))</x:f>
        <x:v>1</x:v>
      </x:c>
      <x:c r="I26" s="11" t="str">
        <x:f>IF(A26="","",IF(B26="","Missing ID; ","")&amp;IF(AND(B26&lt;&gt;"",H26&gt;1),"Duplicate ID; ","")&amp;IF(ISNUMBER(C26),IF(OR(C26&lt;'Report'!$C$5,C26&gt;'Report'!$F$5),"Outside reporting period; ",""),"Invalid date; ")&amp;IF(COUNTIFS('Guide'!$B$24:$B$26,D26)=0,"Unknown team; ","")&amp;IF(ISNUMBER(E26),IF(E26&lt;0,"Negative effort; ",""),"Missing/non-numeric effort; ")&amp;IF(ISNUMBER(F26),IF(F26&lt;0,"Negative resolution; ",""),"Missing/non-numeric resolution; ")&amp;IF(ISNUMBER(G26),IF(G26&lt;=0,"Invalid SLA target; ",""),"Missing/non-numeric SLA target; "))</x:f>
        <x:v>Invalid date; </x:v>
      </x:c>
      <x:c r="J26" s="2" t="str">
        <x:f>IF(A26="","",IF(I26="","Included","Review"))</x:f>
        <x:v>Review</x:v>
      </x:c>
      <x:c r="K26" s="2" t="str">
        <x:f>IF(J26="Included",IF(F26&lt;=G26,1,0),"")</x:f>
      </x:c>
      <x:c r="L26" s="13" t="str">
        <x:f>IF(J26="Included",C26-WEEKDAY(C26,2)+1,"")</x:f>
      </x:c>
      <x:c r="M26" s="15" t="n">
        <x:f>IF(J26="Included",E26,0)</x:f>
        <x:v>0</x:v>
      </x:c>
      <x:c r="N26" s="15" t="n">
        <x:f>IF(J26="Included",F26,0)</x:f>
        <x:v>0</x:v>
      </x:c>
    </x:row>
    <x:row r="27" ht="32" customHeight="1">
      <x:c r="A27" s="2" t="n">
        <x:f>IF(COUNTA('Source'!A21:F21)=0,"",21)</x:f>
        <x:v>21</x:v>
      </x:c>
      <x:c r="B27" s="2" t="str">
        <x:f>IF(A27="","",UPPER(TRIM('Source'!A21&amp;"")))</x:f>
        <x:v>TU-0020</x:v>
      </x:c>
      <x:c r="C27" s="13" t="n">
        <x:f>IF(OR(A27="",ISBLANK('Source'!B21)),"",'Source'!B21)</x:f>
        <x:v>46297</x:v>
      </x:c>
      <x:c r="D27" s="2" t="str">
        <x:f>IF(A27="","",UPPER(TRIM('Source'!C21&amp;"")))</x:f>
        <x:v>LOGISTICS</x:v>
      </x:c>
      <x:c r="E27" s="15" t="n">
        <x:f>IF(OR(A27="",ISBLANK('Source'!D21)),"",'Source'!D21)</x:f>
        <x:v>0.75</x:v>
      </x:c>
      <x:c r="F27" s="15" t="n">
        <x:f>IF(OR(A27="",ISBLANK('Source'!E21)),"",'Source'!E21)</x:f>
        <x:v>12</x:v>
      </x:c>
      <x:c r="G27" s="15" t="n">
        <x:f>IF(OR(A27="",ISBLANK('Source'!F21)),"",'Source'!F21)</x:f>
        <x:v>48</x:v>
      </x:c>
      <x:c r="H27" s="2" t="n">
        <x:f>IF(A27="","",COUNTIFS($B$8:$B$213,B27))</x:f>
        <x:v>1</x:v>
      </x:c>
      <x:c r="I27" s="11" t="str">
        <x:f>IF(A27="","",IF(B27="","Missing ID; ","")&amp;IF(AND(B27&lt;&gt;"",H27&gt;1),"Duplicate ID; ","")&amp;IF(ISNUMBER(C27),IF(OR(C27&lt;'Report'!$C$5,C27&gt;'Report'!$F$5),"Outside reporting period; ",""),"Invalid date; ")&amp;IF(COUNTIFS('Guide'!$B$24:$B$26,D27)=0,"Unknown team; ","")&amp;IF(ISNUMBER(E27),IF(E27&lt;0,"Negative effort; ",""),"Missing/non-numeric effort; ")&amp;IF(ISNUMBER(F27),IF(F27&lt;0,"Negative resolution; ",""),"Missing/non-numeric resolution; ")&amp;IF(ISNUMBER(G27),IF(G27&lt;=0,"Invalid SLA target; ",""),"Missing/non-numeric SLA target; "))</x:f>
      </x:c>
      <x:c r="J27" s="2" t="str">
        <x:f>IF(A27="","",IF(I27="","Included","Review"))</x:f>
        <x:v>Included</x:v>
      </x:c>
      <x:c r="K27" s="2" t="n">
        <x:f>IF(J27="Included",IF(F27&lt;=G27,1,0),"")</x:f>
        <x:v>1</x:v>
      </x:c>
      <x:c r="L27" s="13" t="n">
        <x:f>IF(J27="Included",C27-WEEKDAY(C27,2)+1,"")</x:f>
        <x:v>46293</x:v>
      </x:c>
      <x:c r="M27" s="15" t="n">
        <x:f>IF(J27="Included",E27,0)</x:f>
        <x:v>0.75</x:v>
      </x:c>
      <x:c r="N27" s="15" t="n">
        <x:f>IF(J27="Included",F27,0)</x:f>
        <x:v>12</x:v>
      </x:c>
    </x:row>
    <x:row r="28" ht="32" customHeight="1">
      <x:c r="A28" s="2" t="n">
        <x:f>IF(COUNTA('Source'!A22:F22)=0,"",22)</x:f>
        <x:v>22</x:v>
      </x:c>
      <x:c r="B28" s="2" t="str">
        <x:f>IF(A28="","",UPPER(TRIM('Source'!A22&amp;"")))</x:f>
        <x:v>TU-0021</x:v>
      </x:c>
      <x:c r="C28" s="13" t="n">
        <x:f>IF(OR(A28="",ISBLANK('Source'!B22)),"",'Source'!B22)</x:f>
        <x:v>46293</x:v>
      </x:c>
      <x:c r="D28" s="2" t="str">
        <x:f>IF(A28="","",UPPER(TRIM('Source'!C22&amp;"")))</x:f>
        <x:v>FIELD</x:v>
      </x:c>
      <x:c r="E28" s="15" t="n">
        <x:f>IF(OR(A28="",ISBLANK('Source'!D22)),"",'Source'!D22)</x:f>
        <x:v>1</x:v>
      </x:c>
      <x:c r="F28" s="15" t="n">
        <x:f>IF(OR(A28="",ISBLANK('Source'!E22)),"",'Source'!E22)</x:f>
        <x:v>19</x:v>
      </x:c>
      <x:c r="G28" s="15" t="n">
        <x:f>IF(OR(A28="",ISBLANK('Source'!F22)),"",'Source'!F22)</x:f>
        <x:v>48</x:v>
      </x:c>
      <x:c r="H28" s="2" t="n">
        <x:f>IF(A28="","",COUNTIFS($B$8:$B$213,B28))</x:f>
        <x:v>1</x:v>
      </x:c>
      <x:c r="I28" s="11" t="str">
        <x:f>IF(A28="","",IF(B28="","Missing ID; ","")&amp;IF(AND(B28&lt;&gt;"",H28&gt;1),"Duplicate ID; ","")&amp;IF(ISNUMBER(C28),IF(OR(C28&lt;'Report'!$C$5,C28&gt;'Report'!$F$5),"Outside reporting period; ",""),"Invalid date; ")&amp;IF(COUNTIFS('Guide'!$B$24:$B$26,D28)=0,"Unknown team; ","")&amp;IF(ISNUMBER(E28),IF(E28&lt;0,"Negative effort; ",""),"Missing/non-numeric effort; ")&amp;IF(ISNUMBER(F28),IF(F28&lt;0,"Negative resolution; ",""),"Missing/non-numeric resolution; ")&amp;IF(ISNUMBER(G28),IF(G28&lt;=0,"Invalid SLA target; ",""),"Missing/non-numeric SLA target; "))</x:f>
      </x:c>
      <x:c r="J28" s="2" t="str">
        <x:f>IF(A28="","",IF(I28="","Included","Review"))</x:f>
        <x:v>Included</x:v>
      </x:c>
      <x:c r="K28" s="2" t="n">
        <x:f>IF(J28="Included",IF(F28&lt;=G28,1,0),"")</x:f>
        <x:v>1</x:v>
      </x:c>
      <x:c r="L28" s="13" t="n">
        <x:f>IF(J28="Included",C28-WEEKDAY(C28,2)+1,"")</x:f>
        <x:v>46293</x:v>
      </x:c>
      <x:c r="M28" s="15" t="n">
        <x:f>IF(J28="Included",E28,0)</x:f>
        <x:v>1</x:v>
      </x:c>
      <x:c r="N28" s="15" t="n">
        <x:f>IF(J28="Included",F28,0)</x:f>
        <x:v>19</x:v>
      </x:c>
    </x:row>
    <x:row r="29" ht="32" customHeight="1">
      <x:c r="A29" s="2" t="n">
        <x:f>IF(COUNTA('Source'!A23:F23)=0,"",23)</x:f>
        <x:v>23</x:v>
      </x:c>
      <x:c r="B29" s="2" t="str">
        <x:f>IF(A29="","",UPPER(TRIM('Source'!A23&amp;"")))</x:f>
        <x:v>TU-0022</x:v>
      </x:c>
      <x:c r="C29" s="13" t="n">
        <x:f>IF(OR(A29="",ISBLANK('Source'!B23)),"",'Source'!B23)</x:f>
        <x:v>46294</x:v>
      </x:c>
      <x:c r="D29" s="2" t="str">
        <x:f>IF(A29="","",UPPER(TRIM('Source'!C23&amp;"")))</x:f>
        <x:v>SUPPORT</x:v>
      </x:c>
      <x:c r="E29" s="15" t="n">
        <x:f>IF(OR(A29="",ISBLANK('Source'!D23)),"",'Source'!D23)</x:f>
        <x:v>1.25</x:v>
      </x:c>
      <x:c r="F29" s="15" t="n">
        <x:f>IF(OR(A29="",ISBLANK('Source'!E23)),"",'Source'!E23)</x:f>
        <x:v>26</x:v>
      </x:c>
      <x:c r="G29" s="15" t="n">
        <x:f>IF(OR(A29="",ISBLANK('Source'!F23)),"",'Source'!F23)</x:f>
        <x:v>24</x:v>
      </x:c>
      <x:c r="H29" s="2" t="n">
        <x:f>IF(A29="","",COUNTIFS($B$8:$B$213,B29))</x:f>
        <x:v>1</x:v>
      </x:c>
      <x:c r="I29" s="11" t="str">
        <x:f>IF(A29="","",IF(B29="","Missing ID; ","")&amp;IF(AND(B29&lt;&gt;"",H29&gt;1),"Duplicate ID; ","")&amp;IF(ISNUMBER(C29),IF(OR(C29&lt;'Report'!$C$5,C29&gt;'Report'!$F$5),"Outside reporting period; ",""),"Invalid date; ")&amp;IF(COUNTIFS('Guide'!$B$24:$B$26,D29)=0,"Unknown team; ","")&amp;IF(ISNUMBER(E29),IF(E29&lt;0,"Negative effort; ",""),"Missing/non-numeric effort; ")&amp;IF(ISNUMBER(F29),IF(F29&lt;0,"Negative resolution; ",""),"Missing/non-numeric resolution; ")&amp;IF(ISNUMBER(G29),IF(G29&lt;=0,"Invalid SLA target; ",""),"Missing/non-numeric SLA target; "))</x:f>
      </x:c>
      <x:c r="J29" s="2" t="str">
        <x:f>IF(A29="","",IF(I29="","Included","Review"))</x:f>
        <x:v>Included</x:v>
      </x:c>
      <x:c r="K29" s="2" t="n">
        <x:f>IF(J29="Included",IF(F29&lt;=G29,1,0),"")</x:f>
        <x:v>0</x:v>
      </x:c>
      <x:c r="L29" s="13" t="n">
        <x:f>IF(J29="Included",C29-WEEKDAY(C29,2)+1,"")</x:f>
        <x:v>46293</x:v>
      </x:c>
      <x:c r="M29" s="15" t="n">
        <x:f>IF(J29="Included",E29,0)</x:f>
        <x:v>1.25</x:v>
      </x:c>
      <x:c r="N29" s="15" t="n">
        <x:f>IF(J29="Included",F29,0)</x:f>
        <x:v>26</x:v>
      </x:c>
    </x:row>
    <x:row r="30" ht="32" customHeight="1">
      <x:c r="A30" s="2" t="n">
        <x:f>IF(COUNTA('Source'!A24:F24)=0,"",24)</x:f>
        <x:v>24</x:v>
      </x:c>
      <x:c r="B30" s="2" t="str">
        <x:f>IF(A30="","",UPPER(TRIM('Source'!A24&amp;"")))</x:f>
        <x:v>TU-0023</x:v>
      </x:c>
      <x:c r="C30" s="13" t="n">
        <x:f>IF(OR(A30="",ISBLANK('Source'!B24)),"",'Source'!B24)</x:f>
        <x:v>46295</x:v>
      </x:c>
      <x:c r="D30" s="2" t="str">
        <x:f>IF(A30="","",UPPER(TRIM('Source'!C24&amp;"")))</x:f>
        <x:v>LOGISTICS</x:v>
      </x:c>
      <x:c r="E30" s="15" t="n">
        <x:f>IF(OR(A30="",ISBLANK('Source'!D24)),"",'Source'!D24)</x:f>
        <x:v>1.5</x:v>
      </x:c>
      <x:c r="F30" s="15" t="n">
        <x:f>IF(OR(A30="",ISBLANK('Source'!E24)),"",'Source'!E24)</x:f>
        <x:v>-1</x:v>
      </x:c>
      <x:c r="G30" s="15" t="n">
        <x:f>IF(OR(A30="",ISBLANK('Source'!F24)),"",'Source'!F24)</x:f>
        <x:v>48</x:v>
      </x:c>
      <x:c r="H30" s="2" t="n">
        <x:f>IF(A30="","",COUNTIFS($B$8:$B$213,B30))</x:f>
        <x:v>1</x:v>
      </x:c>
      <x:c r="I30" s="11" t="str">
        <x:f>IF(A30="","",IF(B30="","Missing ID; ","")&amp;IF(AND(B30&lt;&gt;"",H30&gt;1),"Duplicate ID; ","")&amp;IF(ISNUMBER(C30),IF(OR(C30&lt;'Report'!$C$5,C30&gt;'Report'!$F$5),"Outside reporting period; ",""),"Invalid date; ")&amp;IF(COUNTIFS('Guide'!$B$24:$B$26,D30)=0,"Unknown team; ","")&amp;IF(ISNUMBER(E30),IF(E30&lt;0,"Negative effort; ",""),"Missing/non-numeric effort; ")&amp;IF(ISNUMBER(F30),IF(F30&lt;0,"Negative resolution; ",""),"Missing/non-numeric resolution; ")&amp;IF(ISNUMBER(G30),IF(G30&lt;=0,"Invalid SLA target; ",""),"Missing/non-numeric SLA target; "))</x:f>
        <x:v>Negative resolution; </x:v>
      </x:c>
      <x:c r="J30" s="2" t="str">
        <x:f>IF(A30="","",IF(I30="","Included","Review"))</x:f>
        <x:v>Review</x:v>
      </x:c>
      <x:c r="K30" s="2" t="str">
        <x:f>IF(J30="Included",IF(F30&lt;=G30,1,0),"")</x:f>
      </x:c>
      <x:c r="L30" s="13" t="str">
        <x:f>IF(J30="Included",C30-WEEKDAY(C30,2)+1,"")</x:f>
      </x:c>
      <x:c r="M30" s="15" t="n">
        <x:f>IF(J30="Included",E30,0)</x:f>
        <x:v>0</x:v>
      </x:c>
      <x:c r="N30" s="15" t="n">
        <x:f>IF(J30="Included",F30,0)</x:f>
        <x:v>0</x:v>
      </x:c>
    </x:row>
    <x:row r="31" ht="32" customHeight="1">
      <x:c r="A31" s="2" t="n">
        <x:f>IF(COUNTA('Source'!A25:F25)=0,"",25)</x:f>
        <x:v>25</x:v>
      </x:c>
      <x:c r="B31" s="2" t="str">
        <x:f>IF(A31="","",UPPER(TRIM('Source'!A25&amp;"")))</x:f>
        <x:v>TU-0024</x:v>
      </x:c>
      <x:c r="C31" s="13" t="n">
        <x:f>IF(OR(A31="",ISBLANK('Source'!B25)),"",'Source'!B25)</x:f>
        <x:v>46296</x:v>
      </x:c>
      <x:c r="D31" s="2" t="str">
        <x:f>IF(A31="","",UPPER(TRIM('Source'!C25&amp;"")))</x:f>
        <x:v>FIELD</x:v>
      </x:c>
      <x:c r="E31" s="15" t="n">
        <x:f>IF(OR(A31="",ISBLANK('Source'!D25)),"",'Source'!D25)</x:f>
        <x:v>1.75</x:v>
      </x:c>
      <x:c r="F31" s="15" t="n">
        <x:f>IF(OR(A31="",ISBLANK('Source'!E25)),"",'Source'!E25)</x:f>
        <x:v>40</x:v>
      </x:c>
      <x:c r="G31" s="15" t="n">
        <x:f>IF(OR(A31="",ISBLANK('Source'!F25)),"",'Source'!F25)</x:f>
        <x:v>48</x:v>
      </x:c>
      <x:c r="H31" s="2" t="n">
        <x:f>IF(A31="","",COUNTIFS($B$8:$B$213,B31))</x:f>
        <x:v>1</x:v>
      </x:c>
      <x:c r="I31" s="11" t="str">
        <x:f>IF(A31="","",IF(B31="","Missing ID; ","")&amp;IF(AND(B31&lt;&gt;"",H31&gt;1),"Duplicate ID; ","")&amp;IF(ISNUMBER(C31),IF(OR(C31&lt;'Report'!$C$5,C31&gt;'Report'!$F$5),"Outside reporting period; ",""),"Invalid date; ")&amp;IF(COUNTIFS('Guide'!$B$24:$B$26,D31)=0,"Unknown team; ","")&amp;IF(ISNUMBER(E31),IF(E31&lt;0,"Negative effort; ",""),"Missing/non-numeric effort; ")&amp;IF(ISNUMBER(F31),IF(F31&lt;0,"Negative resolution; ",""),"Missing/non-numeric resolution; ")&amp;IF(ISNUMBER(G31),IF(G31&lt;=0,"Invalid SLA target; ",""),"Missing/non-numeric SLA target; "))</x:f>
      </x:c>
      <x:c r="J31" s="2" t="str">
        <x:f>IF(A31="","",IF(I31="","Included","Review"))</x:f>
        <x:v>Included</x:v>
      </x:c>
      <x:c r="K31" s="2" t="n">
        <x:f>IF(J31="Included",IF(F31&lt;=G31,1,0),"")</x:f>
        <x:v>1</x:v>
      </x:c>
      <x:c r="L31" s="13" t="n">
        <x:f>IF(J31="Included",C31-WEEKDAY(C31,2)+1,"")</x:f>
        <x:v>46293</x:v>
      </x:c>
      <x:c r="M31" s="15" t="n">
        <x:f>IF(J31="Included",E31,0)</x:f>
        <x:v>1.75</x:v>
      </x:c>
      <x:c r="N31" s="15" t="n">
        <x:f>IF(J31="Included",F31,0)</x:f>
        <x:v>40</x:v>
      </x:c>
    </x:row>
    <x:row r="32" ht="32" customHeight="1">
      <x:c r="A32" s="2" t="n">
        <x:f>IF(COUNTA('Source'!A26:F26)=0,"",26)</x:f>
        <x:v>26</x:v>
      </x:c>
      <x:c r="B32" s="2" t="str">
        <x:f>IF(A32="","",UPPER(TRIM('Source'!A26&amp;"")))</x:f>
        <x:v>TU-0025</x:v>
      </x:c>
      <x:c r="C32" s="13" t="n">
        <x:f>IF(OR(A32="",ISBLANK('Source'!B26)),"",'Source'!B26)</x:f>
        <x:v>46304</x:v>
      </x:c>
      <x:c r="D32" s="2" t="str">
        <x:f>IF(A32="","",UPPER(TRIM('Source'!C26&amp;"")))</x:f>
        <x:v>SUPPORT</x:v>
      </x:c>
      <x:c r="E32" s="15" t="n">
        <x:f>IF(OR(A32="",ISBLANK('Source'!D26)),"",'Source'!D26)</x:f>
        <x:v>2</x:v>
      </x:c>
      <x:c r="F32" s="15" t="n">
        <x:f>IF(OR(A32="",ISBLANK('Source'!E26)),"",'Source'!E26)</x:f>
        <x:v>6</x:v>
      </x:c>
      <x:c r="G32" s="15" t="n">
        <x:f>IF(OR(A32="",ISBLANK('Source'!F26)),"",'Source'!F26)</x:f>
        <x:v>24</x:v>
      </x:c>
      <x:c r="H32" s="2" t="n">
        <x:f>IF(A32="","",COUNTIFS($B$8:$B$213,B32))</x:f>
        <x:v>1</x:v>
      </x:c>
      <x:c r="I32" s="11" t="str">
        <x:f>IF(A32="","",IF(B32="","Missing ID; ","")&amp;IF(AND(B32&lt;&gt;"",H32&gt;1),"Duplicate ID; ","")&amp;IF(ISNUMBER(C32),IF(OR(C32&lt;'Report'!$C$5,C32&gt;'Report'!$F$5),"Outside reporting period; ",""),"Invalid date; ")&amp;IF(COUNTIFS('Guide'!$B$24:$B$26,D32)=0,"Unknown team; ","")&amp;IF(ISNUMBER(E32),IF(E32&lt;0,"Negative effort; ",""),"Missing/non-numeric effort; ")&amp;IF(ISNUMBER(F32),IF(F32&lt;0,"Negative resolution; ",""),"Missing/non-numeric resolution; ")&amp;IF(ISNUMBER(G32),IF(G32&lt;=0,"Invalid SLA target; ",""),"Missing/non-numeric SLA target; "))</x:f>
      </x:c>
      <x:c r="J32" s="2" t="str">
        <x:f>IF(A32="","",IF(I32="","Included","Review"))</x:f>
        <x:v>Included</x:v>
      </x:c>
      <x:c r="K32" s="2" t="n">
        <x:f>IF(J32="Included",IF(F32&lt;=G32,1,0),"")</x:f>
        <x:v>1</x:v>
      </x:c>
      <x:c r="L32" s="13" t="n">
        <x:f>IF(J32="Included",C32-WEEKDAY(C32,2)+1,"")</x:f>
        <x:v>46300</x:v>
      </x:c>
      <x:c r="M32" s="15" t="n">
        <x:f>IF(J32="Included",E32,0)</x:f>
        <x:v>2</x:v>
      </x:c>
      <x:c r="N32" s="15" t="n">
        <x:f>IF(J32="Included",F32,0)</x:f>
        <x:v>6</x:v>
      </x:c>
    </x:row>
    <x:row r="33" ht="32" customHeight="1">
      <x:c r="A33" s="2" t="n">
        <x:f>IF(COUNTA('Source'!A27:F27)=0,"",27)</x:f>
        <x:v>27</x:v>
      </x:c>
      <x:c r="B33" s="2" t="str">
        <x:f>IF(A33="","",UPPER(TRIM('Source'!A27&amp;"")))</x:f>
        <x:v>TU-0026</x:v>
      </x:c>
      <x:c r="C33" s="13" t="n">
        <x:f>IF(OR(A33="",ISBLANK('Source'!B27)),"",'Source'!B27)</x:f>
        <x:v>46300</x:v>
      </x:c>
      <x:c r="D33" s="2" t="str">
        <x:f>IF(A33="","",UPPER(TRIM('Source'!C27&amp;"")))</x:f>
        <x:v>LOGISTICS</x:v>
      </x:c>
      <x:c r="E33" s="15" t="n">
        <x:f>IF(OR(A33="",ISBLANK('Source'!D27)),"",'Source'!D27)</x:f>
        <x:v>2.25</x:v>
      </x:c>
      <x:c r="F33" s="15" t="n">
        <x:f>IF(OR(A33="",ISBLANK('Source'!E27)),"",'Source'!E27)</x:f>
        <x:v>13</x:v>
      </x:c>
      <x:c r="G33" s="15" t="n">
        <x:f>IF(OR(A33="",ISBLANK('Source'!F27)),"",'Source'!F27)</x:f>
        <x:v>48</x:v>
      </x:c>
      <x:c r="H33" s="2" t="n">
        <x:f>IF(A33="","",COUNTIFS($B$8:$B$213,B33))</x:f>
        <x:v>1</x:v>
      </x:c>
      <x:c r="I33" s="11" t="str">
        <x:f>IF(A33="","",IF(B33="","Missing ID; ","")&amp;IF(AND(B33&lt;&gt;"",H33&gt;1),"Duplicate ID; ","")&amp;IF(ISNUMBER(C33),IF(OR(C33&lt;'Report'!$C$5,C33&gt;'Report'!$F$5),"Outside reporting period; ",""),"Invalid date; ")&amp;IF(COUNTIFS('Guide'!$B$24:$B$26,D33)=0,"Unknown team; ","")&amp;IF(ISNUMBER(E33),IF(E33&lt;0,"Negative effort; ",""),"Missing/non-numeric effort; ")&amp;IF(ISNUMBER(F33),IF(F33&lt;0,"Negative resolution; ",""),"Missing/non-numeric resolution; ")&amp;IF(ISNUMBER(G33),IF(G33&lt;=0,"Invalid SLA target; ",""),"Missing/non-numeric SLA target; "))</x:f>
      </x:c>
      <x:c r="J33" s="2" t="str">
        <x:f>IF(A33="","",IF(I33="","Included","Review"))</x:f>
        <x:v>Included</x:v>
      </x:c>
      <x:c r="K33" s="2" t="n">
        <x:f>IF(J33="Included",IF(F33&lt;=G33,1,0),"")</x:f>
        <x:v>1</x:v>
      </x:c>
      <x:c r="L33" s="13" t="n">
        <x:f>IF(J33="Included",C33-WEEKDAY(C33,2)+1,"")</x:f>
        <x:v>46300</x:v>
      </x:c>
      <x:c r="M33" s="15" t="n">
        <x:f>IF(J33="Included",E33,0)</x:f>
        <x:v>2.25</x:v>
      </x:c>
      <x:c r="N33" s="15" t="n">
        <x:f>IF(J33="Included",F33,0)</x:f>
        <x:v>13</x:v>
      </x:c>
    </x:row>
    <x:row r="34" ht="32" customHeight="1">
      <x:c r="A34" s="2" t="n">
        <x:f>IF(COUNTA('Source'!A28:F28)=0,"",28)</x:f>
        <x:v>28</x:v>
      </x:c>
      <x:c r="B34" s="2" t="str">
        <x:f>IF(A34="","",UPPER(TRIM('Source'!A28&amp;"")))</x:f>
        <x:v>TU-0027</x:v>
      </x:c>
      <x:c r="C34" s="13" t="n">
        <x:f>IF(OR(A34="",ISBLANK('Source'!B28)),"",'Source'!B28)</x:f>
        <x:v>46301</x:v>
      </x:c>
      <x:c r="D34" s="2" t="str">
        <x:f>IF(A34="","",UPPER(TRIM('Source'!C28&amp;"")))</x:f>
        <x:v>FIELD</x:v>
      </x:c>
      <x:c r="E34" s="15" t="n">
        <x:f>IF(OR(A34="",ISBLANK('Source'!D28)),"",'Source'!D28)</x:f>
        <x:v>2.5</x:v>
      </x:c>
      <x:c r="F34" s="15" t="n">
        <x:f>IF(OR(A34="",ISBLANK('Source'!E28)),"",'Source'!E28)</x:f>
        <x:v>20</x:v>
      </x:c>
      <x:c r="G34" s="15" t="n">
        <x:f>IF(OR(A34="",ISBLANK('Source'!F28)),"",'Source'!F28)</x:f>
        <x:v>0</x:v>
      </x:c>
      <x:c r="H34" s="2" t="n">
        <x:f>IF(A34="","",COUNTIFS($B$8:$B$213,B34))</x:f>
        <x:v>1</x:v>
      </x:c>
      <x:c r="I34" s="11" t="str">
        <x:f>IF(A34="","",IF(B34="","Missing ID; ","")&amp;IF(AND(B34&lt;&gt;"",H34&gt;1),"Duplicate ID; ","")&amp;IF(ISNUMBER(C34),IF(OR(C34&lt;'Report'!$C$5,C34&gt;'Report'!$F$5),"Outside reporting period; ",""),"Invalid date; ")&amp;IF(COUNTIFS('Guide'!$B$24:$B$26,D34)=0,"Unknown team; ","")&amp;IF(ISNUMBER(E34),IF(E34&lt;0,"Negative effort; ",""),"Missing/non-numeric effort; ")&amp;IF(ISNUMBER(F34),IF(F34&lt;0,"Negative resolution; ",""),"Missing/non-numeric resolution; ")&amp;IF(ISNUMBER(G34),IF(G34&lt;=0,"Invalid SLA target; ",""),"Missing/non-numeric SLA target; "))</x:f>
        <x:v>Invalid SLA target; </x:v>
      </x:c>
      <x:c r="J34" s="2" t="str">
        <x:f>IF(A34="","",IF(I34="","Included","Review"))</x:f>
        <x:v>Review</x:v>
      </x:c>
      <x:c r="K34" s="2" t="str">
        <x:f>IF(J34="Included",IF(F34&lt;=G34,1,0),"")</x:f>
      </x:c>
      <x:c r="L34" s="13" t="str">
        <x:f>IF(J34="Included",C34-WEEKDAY(C34,2)+1,"")</x:f>
      </x:c>
      <x:c r="M34" s="15" t="n">
        <x:f>IF(J34="Included",E34,0)</x:f>
        <x:v>0</x:v>
      </x:c>
      <x:c r="N34" s="15" t="n">
        <x:f>IF(J34="Included",F34,0)</x:f>
        <x:v>0</x:v>
      </x:c>
    </x:row>
    <x:row r="35" ht="32" customHeight="1">
      <x:c r="A35" s="2" t="n">
        <x:f>IF(COUNTA('Source'!A29:F29)=0,"",29)</x:f>
        <x:v>29</x:v>
      </x:c>
      <x:c r="B35" s="2" t="str">
        <x:f>IF(A35="","",UPPER(TRIM('Source'!A29&amp;"")))</x:f>
        <x:v>TU-0028</x:v>
      </x:c>
      <x:c r="C35" s="13" t="n">
        <x:f>IF(OR(A35="",ISBLANK('Source'!B29)),"",'Source'!B29)</x:f>
        <x:v>46302</x:v>
      </x:c>
      <x:c r="D35" s="2" t="str">
        <x:f>IF(A35="","",UPPER(TRIM('Source'!C29&amp;"")))</x:f>
        <x:v>SUPPORT</x:v>
      </x:c>
      <x:c r="E35" s="15" t="n">
        <x:f>IF(OR(A35="",ISBLANK('Source'!D29)),"",'Source'!D29)</x:f>
        <x:v>0.5</x:v>
      </x:c>
      <x:c r="F35" s="15" t="n">
        <x:f>IF(OR(A35="",ISBLANK('Source'!E29)),"",'Source'!E29)</x:f>
        <x:v>27</x:v>
      </x:c>
      <x:c r="G35" s="15" t="n">
        <x:f>IF(OR(A35="",ISBLANK('Source'!F29)),"",'Source'!F29)</x:f>
        <x:v>24</x:v>
      </x:c>
      <x:c r="H35" s="2" t="n">
        <x:f>IF(A35="","",COUNTIFS($B$8:$B$213,B35))</x:f>
        <x:v>1</x:v>
      </x:c>
      <x:c r="I35" s="11" t="str">
        <x:f>IF(A35="","",IF(B35="","Missing ID; ","")&amp;IF(AND(B35&lt;&gt;"",H35&gt;1),"Duplicate ID; ","")&amp;IF(ISNUMBER(C35),IF(OR(C35&lt;'Report'!$C$5,C35&gt;'Report'!$F$5),"Outside reporting period; ",""),"Invalid date; ")&amp;IF(COUNTIFS('Guide'!$B$24:$B$26,D35)=0,"Unknown team; ","")&amp;IF(ISNUMBER(E35),IF(E35&lt;0,"Negative effort; ",""),"Missing/non-numeric effort; ")&amp;IF(ISNUMBER(F35),IF(F35&lt;0,"Negative resolution; ",""),"Missing/non-numeric resolution; ")&amp;IF(ISNUMBER(G35),IF(G35&lt;=0,"Invalid SLA target; ",""),"Missing/non-numeric SLA target; "))</x:f>
      </x:c>
      <x:c r="J35" s="2" t="str">
        <x:f>IF(A35="","",IF(I35="","Included","Review"))</x:f>
        <x:v>Included</x:v>
      </x:c>
      <x:c r="K35" s="2" t="n">
        <x:f>IF(J35="Included",IF(F35&lt;=G35,1,0),"")</x:f>
        <x:v>0</x:v>
      </x:c>
      <x:c r="L35" s="13" t="n">
        <x:f>IF(J35="Included",C35-WEEKDAY(C35,2)+1,"")</x:f>
        <x:v>46300</x:v>
      </x:c>
      <x:c r="M35" s="15" t="n">
        <x:f>IF(J35="Included",E35,0)</x:f>
        <x:v>0.5</x:v>
      </x:c>
      <x:c r="N35" s="15" t="n">
        <x:f>IF(J35="Included",F35,0)</x:f>
        <x:v>27</x:v>
      </x:c>
    </x:row>
    <x:row r="36" ht="32" customHeight="1">
      <x:c r="A36" s="2" t="n">
        <x:f>IF(COUNTA('Source'!A30:F30)=0,"",30)</x:f>
        <x:v>30</x:v>
      </x:c>
      <x:c r="B36" s="2" t="str">
        <x:f>IF(A36="","",UPPER(TRIM('Source'!A30&amp;"")))</x:f>
        <x:v>TU-0029</x:v>
      </x:c>
      <x:c r="C36" s="13" t="n">
        <x:f>IF(OR(A36="",ISBLANK('Source'!B30)),"",'Source'!B30)</x:f>
        <x:v>46303</x:v>
      </x:c>
      <x:c r="D36" s="2" t="str">
        <x:f>IF(A36="","",UPPER(TRIM('Source'!C30&amp;"")))</x:f>
        <x:v>LOGISTICS</x:v>
      </x:c>
      <x:c r="E36" s="15" t="n">
        <x:f>IF(OR(A36="",ISBLANK('Source'!D30)),"",'Source'!D30)</x:f>
        <x:v>0.75</x:v>
      </x:c>
      <x:c r="F36" s="15" t="n">
        <x:f>IF(OR(A36="",ISBLANK('Source'!E30)),"",'Source'!E30)</x:f>
        <x:v>34</x:v>
      </x:c>
      <x:c r="G36" s="15" t="n">
        <x:f>IF(OR(A36="",ISBLANK('Source'!F30)),"",'Source'!F30)</x:f>
        <x:v>48</x:v>
      </x:c>
      <x:c r="H36" s="2" t="n">
        <x:f>IF(A36="","",COUNTIFS($B$8:$B$213,B36))</x:f>
        <x:v>1</x:v>
      </x:c>
      <x:c r="I36" s="11" t="str">
        <x:f>IF(A36="","",IF(B36="","Missing ID; ","")&amp;IF(AND(B36&lt;&gt;"",H36&gt;1),"Duplicate ID; ","")&amp;IF(ISNUMBER(C36),IF(OR(C36&lt;'Report'!$C$5,C36&gt;'Report'!$F$5),"Outside reporting period; ",""),"Invalid date; ")&amp;IF(COUNTIFS('Guide'!$B$24:$B$26,D36)=0,"Unknown team; ","")&amp;IF(ISNUMBER(E36),IF(E36&lt;0,"Negative effort; ",""),"Missing/non-numeric effort; ")&amp;IF(ISNUMBER(F36),IF(F36&lt;0,"Negative resolution; ",""),"Missing/non-numeric resolution; ")&amp;IF(ISNUMBER(G36),IF(G36&lt;=0,"Invalid SLA target; ",""),"Missing/non-numeric SLA target; "))</x:f>
      </x:c>
      <x:c r="J36" s="2" t="str">
        <x:f>IF(A36="","",IF(I36="","Included","Review"))</x:f>
        <x:v>Included</x:v>
      </x:c>
      <x:c r="K36" s="2" t="n">
        <x:f>IF(J36="Included",IF(F36&lt;=G36,1,0),"")</x:f>
        <x:v>1</x:v>
      </x:c>
      <x:c r="L36" s="13" t="n">
        <x:f>IF(J36="Included",C36-WEEKDAY(C36,2)+1,"")</x:f>
        <x:v>46300</x:v>
      </x:c>
      <x:c r="M36" s="15" t="n">
        <x:f>IF(J36="Included",E36,0)</x:f>
        <x:v>0.75</x:v>
      </x:c>
      <x:c r="N36" s="15" t="n">
        <x:f>IF(J36="Included",F36,0)</x:f>
        <x:v>34</x:v>
      </x:c>
    </x:row>
    <x:row r="37" ht="32" customHeight="1">
      <x:c r="A37" s="2" t="n">
        <x:f>IF(COUNTA('Source'!A31:F31)=0,"",31)</x:f>
        <x:v>31</x:v>
      </x:c>
      <x:c r="B37" s="2" t="str">
        <x:f>IF(A37="","",UPPER(TRIM('Source'!A31&amp;"")))</x:f>
        <x:v>TU-0030</x:v>
      </x:c>
      <x:c r="C37" s="13" t="n">
        <x:f>IF(OR(A37="",ISBLANK('Source'!B31)),"",'Source'!B31)</x:f>
        <x:v>46304</x:v>
      </x:c>
      <x:c r="D37" s="2" t="str">
        <x:f>IF(A37="","",UPPER(TRIM('Source'!C31&amp;"")))</x:f>
        <x:v>FIELD</x:v>
      </x:c>
      <x:c r="E37" s="15" t="n">
        <x:f>IF(OR(A37="",ISBLANK('Source'!D31)),"",'Source'!D31)</x:f>
        <x:v>1</x:v>
      </x:c>
      <x:c r="F37" s="15" t="n">
        <x:f>IF(OR(A37="",ISBLANK('Source'!E31)),"",'Source'!E31)</x:f>
        <x:v>41</x:v>
      </x:c>
      <x:c r="G37" s="15" t="n">
        <x:f>IF(OR(A37="",ISBLANK('Source'!F31)),"",'Source'!F31)</x:f>
        <x:v>48</x:v>
      </x:c>
      <x:c r="H37" s="2" t="n">
        <x:f>IF(A37="","",COUNTIFS($B$8:$B$213,B37))</x:f>
        <x:v>1</x:v>
      </x:c>
      <x:c r="I37" s="11" t="str">
        <x:f>IF(A37="","",IF(B37="","Missing ID; ","")&amp;IF(AND(B37&lt;&gt;"",H37&gt;1),"Duplicate ID; ","")&amp;IF(ISNUMBER(C37),IF(OR(C37&lt;'Report'!$C$5,C37&gt;'Report'!$F$5),"Outside reporting period; ",""),"Invalid date; ")&amp;IF(COUNTIFS('Guide'!$B$24:$B$26,D37)=0,"Unknown team; ","")&amp;IF(ISNUMBER(E37),IF(E37&lt;0,"Negative effort; ",""),"Missing/non-numeric effort; ")&amp;IF(ISNUMBER(F37),IF(F37&lt;0,"Negative resolution; ",""),"Missing/non-numeric resolution; ")&amp;IF(ISNUMBER(G37),IF(G37&lt;=0,"Invalid SLA target; ",""),"Missing/non-numeric SLA target; "))</x:f>
      </x:c>
      <x:c r="J37" s="2" t="str">
        <x:f>IF(A37="","",IF(I37="","Included","Review"))</x:f>
        <x:v>Included</x:v>
      </x:c>
      <x:c r="K37" s="2" t="n">
        <x:f>IF(J37="Included",IF(F37&lt;=G37,1,0),"")</x:f>
        <x:v>1</x:v>
      </x:c>
      <x:c r="L37" s="13" t="n">
        <x:f>IF(J37="Included",C37-WEEKDAY(C37,2)+1,"")</x:f>
        <x:v>46300</x:v>
      </x:c>
      <x:c r="M37" s="15" t="n">
        <x:f>IF(J37="Included",E37,0)</x:f>
        <x:v>1</x:v>
      </x:c>
      <x:c r="N37" s="15" t="n">
        <x:f>IF(J37="Included",F37,0)</x:f>
        <x:v>41</x:v>
      </x:c>
    </x:row>
    <x:row r="38" ht="32" customHeight="1">
      <x:c r="A38" s="2" t="n">
        <x:f>IF(COUNTA('Source'!A32:F32)=0,"",32)</x:f>
        <x:v>32</x:v>
      </x:c>
      <x:c r="B38" s="2" t="str">
        <x:f>IF(A38="","",UPPER(TRIM('Source'!A32&amp;"")))</x:f>
        <x:v>TU-0031</x:v>
      </x:c>
      <x:c r="C38" s="13" t="n">
        <x:f>IF(OR(A38="",ISBLANK('Source'!B32)),"",'Source'!B32)</x:f>
        <x:v>46300</x:v>
      </x:c>
      <x:c r="D38" s="2" t="str">
        <x:f>IF(A38="","",UPPER(TRIM('Source'!C32&amp;"")))</x:f>
        <x:v>SUPPORT</x:v>
      </x:c>
      <x:c r="E38" s="15" t="n">
        <x:f>IF(OR(A38="",ISBLANK('Source'!D32)),"",'Source'!D32)</x:f>
        <x:v>1.25</x:v>
      </x:c>
      <x:c r="F38" s="15" t="str">
        <x:f>IF(OR(A38="",ISBLANK('Source'!E32)),"",'Source'!E32)</x:f>
        <x:v>pending</x:v>
      </x:c>
      <x:c r="G38" s="15" t="n">
        <x:f>IF(OR(A38="",ISBLANK('Source'!F32)),"",'Source'!F32)</x:f>
        <x:v>24</x:v>
      </x:c>
      <x:c r="H38" s="2" t="n">
        <x:f>IF(A38="","",COUNTIFS($B$8:$B$213,B38))</x:f>
        <x:v>1</x:v>
      </x:c>
      <x:c r="I38" s="11" t="str">
        <x:f>IF(A38="","",IF(B38="","Missing ID; ","")&amp;IF(AND(B38&lt;&gt;"",H38&gt;1),"Duplicate ID; ","")&amp;IF(ISNUMBER(C38),IF(OR(C38&lt;'Report'!$C$5,C38&gt;'Report'!$F$5),"Outside reporting period; ",""),"Invalid date; ")&amp;IF(COUNTIFS('Guide'!$B$24:$B$26,D38)=0,"Unknown team; ","")&amp;IF(ISNUMBER(E38),IF(E38&lt;0,"Negative effort; ",""),"Missing/non-numeric effort; ")&amp;IF(ISNUMBER(F38),IF(F38&lt;0,"Negative resolution; ",""),"Missing/non-numeric resolution; ")&amp;IF(ISNUMBER(G38),IF(G38&lt;=0,"Invalid SLA target; ",""),"Missing/non-numeric SLA target; "))</x:f>
        <x:v>Missing/non-numeric resolution; </x:v>
      </x:c>
      <x:c r="J38" s="2" t="str">
        <x:f>IF(A38="","",IF(I38="","Included","Review"))</x:f>
        <x:v>Review</x:v>
      </x:c>
      <x:c r="K38" s="2" t="str">
        <x:f>IF(J38="Included",IF(F38&lt;=G38,1,0),"")</x:f>
      </x:c>
      <x:c r="L38" s="13" t="str">
        <x:f>IF(J38="Included",C38-WEEKDAY(C38,2)+1,"")</x:f>
      </x:c>
      <x:c r="M38" s="15" t="n">
        <x:f>IF(J38="Included",E38,0)</x:f>
        <x:v>0</x:v>
      </x:c>
      <x:c r="N38" s="15" t="n">
        <x:f>IF(J38="Included",F38,0)</x:f>
        <x:v>0</x:v>
      </x:c>
    </x:row>
    <x:row r="39" ht="32" customHeight="1">
      <x:c r="A39" s="2" t="n">
        <x:f>IF(COUNTA('Source'!A33:F33)=0,"",33)</x:f>
        <x:v>33</x:v>
      </x:c>
      <x:c r="B39" s="2" t="str">
        <x:f>IF(A39="","",UPPER(TRIM('Source'!A33&amp;"")))</x:f>
        <x:v>TU-0032</x:v>
      </x:c>
      <x:c r="C39" s="13" t="n">
        <x:f>IF(OR(A39="",ISBLANK('Source'!B33)),"",'Source'!B33)</x:f>
        <x:v>46301</x:v>
      </x:c>
      <x:c r="D39" s="2" t="str">
        <x:f>IF(A39="","",UPPER(TRIM('Source'!C33&amp;"")))</x:f>
        <x:v>LOGISTICS</x:v>
      </x:c>
      <x:c r="E39" s="15" t="n">
        <x:f>IF(OR(A39="",ISBLANK('Source'!D33)),"",'Source'!D33)</x:f>
        <x:v>1.5</x:v>
      </x:c>
      <x:c r="F39" s="15" t="n">
        <x:f>IF(OR(A39="",ISBLANK('Source'!E33)),"",'Source'!E33)</x:f>
        <x:v>14</x:v>
      </x:c>
      <x:c r="G39" s="15" t="n">
        <x:f>IF(OR(A39="",ISBLANK('Source'!F33)),"",'Source'!F33)</x:f>
        <x:v>48</x:v>
      </x:c>
      <x:c r="H39" s="2" t="n">
        <x:f>IF(A39="","",COUNTIFS($B$8:$B$213,B39))</x:f>
        <x:v>1</x:v>
      </x:c>
      <x:c r="I39" s="11" t="str">
        <x:f>IF(A39="","",IF(B39="","Missing ID; ","")&amp;IF(AND(B39&lt;&gt;"",H39&gt;1),"Duplicate ID; ","")&amp;IF(ISNUMBER(C39),IF(OR(C39&lt;'Report'!$C$5,C39&gt;'Report'!$F$5),"Outside reporting period; ",""),"Invalid date; ")&amp;IF(COUNTIFS('Guide'!$B$24:$B$26,D39)=0,"Unknown team; ","")&amp;IF(ISNUMBER(E39),IF(E39&lt;0,"Negative effort; ",""),"Missing/non-numeric effort; ")&amp;IF(ISNUMBER(F39),IF(F39&lt;0,"Negative resolution; ",""),"Missing/non-numeric resolution; ")&amp;IF(ISNUMBER(G39),IF(G39&lt;=0,"Invalid SLA target; ",""),"Missing/non-numeric SLA target; "))</x:f>
      </x:c>
      <x:c r="J39" s="2" t="str">
        <x:f>IF(A39="","",IF(I39="","Included","Review"))</x:f>
        <x:v>Included</x:v>
      </x:c>
      <x:c r="K39" s="2" t="n">
        <x:f>IF(J39="Included",IF(F39&lt;=G39,1,0),"")</x:f>
        <x:v>1</x:v>
      </x:c>
      <x:c r="L39" s="13" t="n">
        <x:f>IF(J39="Included",C39-WEEKDAY(C39,2)+1,"")</x:f>
        <x:v>46300</x:v>
      </x:c>
      <x:c r="M39" s="15" t="n">
        <x:f>IF(J39="Included",E39,0)</x:f>
        <x:v>1.5</x:v>
      </x:c>
      <x:c r="N39" s="15" t="n">
        <x:f>IF(J39="Included",F39,0)</x:f>
        <x:v>14</x:v>
      </x:c>
    </x:row>
    <x:row r="40" ht="32" customHeight="1">
      <x:c r="A40" s="2" t="n">
        <x:f>IF(COUNTA('Source'!A34:F34)=0,"",34)</x:f>
        <x:v>34</x:v>
      </x:c>
      <x:c r="B40" s="2" t="str">
        <x:f>IF(A40="","",UPPER(TRIM('Source'!A34&amp;"")))</x:f>
        <x:v>TU-0033</x:v>
      </x:c>
      <x:c r="C40" s="13" t="n">
        <x:f>IF(OR(A40="",ISBLANK('Source'!B34)),"",'Source'!B34)</x:f>
        <x:v>46302</x:v>
      </x:c>
      <x:c r="D40" s="2" t="str">
        <x:f>IF(A40="","",UPPER(TRIM('Source'!C34&amp;"")))</x:f>
        <x:v>FIELD</x:v>
      </x:c>
      <x:c r="E40" s="15" t="n">
        <x:f>IF(OR(A40="",ISBLANK('Source'!D34)),"",'Source'!D34)</x:f>
        <x:v>1.75</x:v>
      </x:c>
      <x:c r="F40" s="15" t="n">
        <x:f>IF(OR(A40="",ISBLANK('Source'!E34)),"",'Source'!E34)</x:f>
        <x:v>21</x:v>
      </x:c>
      <x:c r="G40" s="15" t="n">
        <x:f>IF(OR(A40="",ISBLANK('Source'!F34)),"",'Source'!F34)</x:f>
        <x:v>48</x:v>
      </x:c>
      <x:c r="H40" s="2" t="n">
        <x:f>IF(A40="","",COUNTIFS($B$8:$B$213,B40))</x:f>
        <x:v>1</x:v>
      </x:c>
      <x:c r="I40" s="11" t="str">
        <x:f>IF(A40="","",IF(B40="","Missing ID; ","")&amp;IF(AND(B40&lt;&gt;"",H40&gt;1),"Duplicate ID; ","")&amp;IF(ISNUMBER(C40),IF(OR(C40&lt;'Report'!$C$5,C40&gt;'Report'!$F$5),"Outside reporting period; ",""),"Invalid date; ")&amp;IF(COUNTIFS('Guide'!$B$24:$B$26,D40)=0,"Unknown team; ","")&amp;IF(ISNUMBER(E40),IF(E40&lt;0,"Negative effort; ",""),"Missing/non-numeric effort; ")&amp;IF(ISNUMBER(F40),IF(F40&lt;0,"Negative resolution; ",""),"Missing/non-numeric resolution; ")&amp;IF(ISNUMBER(G40),IF(G40&lt;=0,"Invalid SLA target; ",""),"Missing/non-numeric SLA target; "))</x:f>
      </x:c>
      <x:c r="J40" s="2" t="str">
        <x:f>IF(A40="","",IF(I40="","Included","Review"))</x:f>
        <x:v>Included</x:v>
      </x:c>
      <x:c r="K40" s="2" t="n">
        <x:f>IF(J40="Included",IF(F40&lt;=G40,1,0),"")</x:f>
        <x:v>1</x:v>
      </x:c>
      <x:c r="L40" s="13" t="n">
        <x:f>IF(J40="Included",C40-WEEKDAY(C40,2)+1,"")</x:f>
        <x:v>46300</x:v>
      </x:c>
      <x:c r="M40" s="15" t="n">
        <x:f>IF(J40="Included",E40,0)</x:f>
        <x:v>1.75</x:v>
      </x:c>
      <x:c r="N40" s="15" t="n">
        <x:f>IF(J40="Included",F40,0)</x:f>
        <x:v>21</x:v>
      </x:c>
    </x:row>
    <x:row r="41" ht="32" customHeight="1">
      <x:c r="A41" s="2" t="n">
        <x:f>IF(COUNTA('Source'!A35:F35)=0,"",35)</x:f>
        <x:v>35</x:v>
      </x:c>
      <x:c r="B41" s="2" t="str">
        <x:f>IF(A41="","",UPPER(TRIM('Source'!A35&amp;"")))</x:f>
        <x:v>TU-0034</x:v>
      </x:c>
      <x:c r="C41" s="13" t="n">
        <x:f>IF(OR(A41="",ISBLANK('Source'!B35)),"",'Source'!B35)</x:f>
        <x:v>46303</x:v>
      </x:c>
      <x:c r="D41" s="2" t="str">
        <x:f>IF(A41="","",UPPER(TRIM('Source'!C35&amp;"")))</x:f>
        <x:v>SUPPORT</x:v>
      </x:c>
      <x:c r="E41" s="15" t="n">
        <x:f>IF(OR(A41="",ISBLANK('Source'!D35)),"",'Source'!D35)</x:f>
        <x:v>2</x:v>
      </x:c>
      <x:c r="F41" s="15" t="n">
        <x:f>IF(OR(A41="",ISBLANK('Source'!E35)),"",'Source'!E35)</x:f>
        <x:v>28</x:v>
      </x:c>
      <x:c r="G41" s="15" t="n">
        <x:f>IF(OR(A41="",ISBLANK('Source'!F35)),"",'Source'!F35)</x:f>
        <x:v>24</x:v>
      </x:c>
      <x:c r="H41" s="2" t="n">
        <x:f>IF(A41="","",COUNTIFS($B$8:$B$213,B41))</x:f>
        <x:v>1</x:v>
      </x:c>
      <x:c r="I41" s="11" t="str">
        <x:f>IF(A41="","",IF(B41="","Missing ID; ","")&amp;IF(AND(B41&lt;&gt;"",H41&gt;1),"Duplicate ID; ","")&amp;IF(ISNUMBER(C41),IF(OR(C41&lt;'Report'!$C$5,C41&gt;'Report'!$F$5),"Outside reporting period; ",""),"Invalid date; ")&amp;IF(COUNTIFS('Guide'!$B$24:$B$26,D41)=0,"Unknown team; ","")&amp;IF(ISNUMBER(E41),IF(E41&lt;0,"Negative effort; ",""),"Missing/non-numeric effort; ")&amp;IF(ISNUMBER(F41),IF(F41&lt;0,"Negative resolution; ",""),"Missing/non-numeric resolution; ")&amp;IF(ISNUMBER(G41),IF(G41&lt;=0,"Invalid SLA target; ",""),"Missing/non-numeric SLA target; "))</x:f>
      </x:c>
      <x:c r="J41" s="2" t="str">
        <x:f>IF(A41="","",IF(I41="","Included","Review"))</x:f>
        <x:v>Included</x:v>
      </x:c>
      <x:c r="K41" s="2" t="n">
        <x:f>IF(J41="Included",IF(F41&lt;=G41,1,0),"")</x:f>
        <x:v>0</x:v>
      </x:c>
      <x:c r="L41" s="13" t="n">
        <x:f>IF(J41="Included",C41-WEEKDAY(C41,2)+1,"")</x:f>
        <x:v>46300</x:v>
      </x:c>
      <x:c r="M41" s="15" t="n">
        <x:f>IF(J41="Included",E41,0)</x:f>
        <x:v>2</x:v>
      </x:c>
      <x:c r="N41" s="15" t="n">
        <x:f>IF(J41="Included",F41,0)</x:f>
        <x:v>28</x:v>
      </x:c>
    </x:row>
    <x:row r="42" ht="32" customHeight="1">
      <x:c r="A42" s="2" t="n">
        <x:f>IF(COUNTA('Source'!A36:F36)=0,"",36)</x:f>
        <x:v>36</x:v>
      </x:c>
      <x:c r="B42" s="2" t="str">
        <x:f>IF(A42="","",UPPER(TRIM('Source'!A36&amp;"")))</x:f>
        <x:v>TU-0035</x:v>
      </x:c>
      <x:c r="C42" s="13" t="n">
        <x:f>IF(OR(A42="",ISBLANK('Source'!B36)),"",'Source'!B36)</x:f>
        <x:v>46304</x:v>
      </x:c>
      <x:c r="D42" s="2" t="str">
        <x:f>IF(A42="","",UPPER(TRIM('Source'!C36&amp;"")))</x:f>
        <x:v>LOGISTICS</x:v>
      </x:c>
      <x:c r="E42" s="15" t="n">
        <x:f>IF(OR(A42="",ISBLANK('Source'!D36)),"",'Source'!D36)</x:f>
        <x:v>2.25</x:v>
      </x:c>
      <x:c r="F42" s="15" t="n">
        <x:f>IF(OR(A42="",ISBLANK('Source'!E36)),"",'Source'!E36)</x:f>
        <x:v>35</x:v>
      </x:c>
      <x:c r="G42" s="15" t="n">
        <x:f>IF(OR(A42="",ISBLANK('Source'!F36)),"",'Source'!F36)</x:f>
        <x:v>48</x:v>
      </x:c>
      <x:c r="H42" s="2" t="n">
        <x:f>IF(A42="","",COUNTIFS($B$8:$B$213,B42))</x:f>
        <x:v>1</x:v>
      </x:c>
      <x:c r="I42" s="11" t="str">
        <x:f>IF(A42="","",IF(B42="","Missing ID; ","")&amp;IF(AND(B42&lt;&gt;"",H42&gt;1),"Duplicate ID; ","")&amp;IF(ISNUMBER(C42),IF(OR(C42&lt;'Report'!$C$5,C42&gt;'Report'!$F$5),"Outside reporting period; ",""),"Invalid date; ")&amp;IF(COUNTIFS('Guide'!$B$24:$B$26,D42)=0,"Unknown team; ","")&amp;IF(ISNUMBER(E42),IF(E42&lt;0,"Negative effort; ",""),"Missing/non-numeric effort; ")&amp;IF(ISNUMBER(F42),IF(F42&lt;0,"Negative resolution; ",""),"Missing/non-numeric resolution; ")&amp;IF(ISNUMBER(G42),IF(G42&lt;=0,"Invalid SLA target; ",""),"Missing/non-numeric SLA target; "))</x:f>
      </x:c>
      <x:c r="J42" s="2" t="str">
        <x:f>IF(A42="","",IF(I42="","Included","Review"))</x:f>
        <x:v>Included</x:v>
      </x:c>
      <x:c r="K42" s="2" t="n">
        <x:f>IF(J42="Included",IF(F42&lt;=G42,1,0),"")</x:f>
        <x:v>1</x:v>
      </x:c>
      <x:c r="L42" s="13" t="n">
        <x:f>IF(J42="Included",C42-WEEKDAY(C42,2)+1,"")</x:f>
        <x:v>46300</x:v>
      </x:c>
      <x:c r="M42" s="15" t="n">
        <x:f>IF(J42="Included",E42,0)</x:f>
        <x:v>2.25</x:v>
      </x:c>
      <x:c r="N42" s="15" t="n">
        <x:f>IF(J42="Included",F42,0)</x:f>
        <x:v>35</x:v>
      </x:c>
    </x:row>
    <x:row r="43" ht="32" customHeight="1">
      <x:c r="A43" s="2" t="n">
        <x:f>IF(COUNTA('Source'!A37:F37)=0,"",37)</x:f>
        <x:v>37</x:v>
      </x:c>
      <x:c r="B43" s="2" t="str">
        <x:f>IF(A43="","",UPPER(TRIM('Source'!A37&amp;"")))</x:f>
        <x:v>TU-0036</x:v>
      </x:c>
      <x:c r="C43" s="13" t="n">
        <x:f>IF(OR(A43="",ISBLANK('Source'!B37)),"",'Source'!B37)</x:f>
        <x:v>46300</x:v>
      </x:c>
      <x:c r="D43" s="2" t="str">
        <x:f>IF(A43="","",UPPER(TRIM('Source'!C37&amp;"")))</x:f>
        <x:v>FIELD</x:v>
      </x:c>
      <x:c r="E43" s="15" t="n">
        <x:f>IF(OR(A43="",ISBLANK('Source'!D37)),"",'Source'!D37)</x:f>
        <x:v>2.5</x:v>
      </x:c>
      <x:c r="F43" s="15" t="n">
        <x:f>IF(OR(A43="",ISBLANK('Source'!E37)),"",'Source'!E37)</x:f>
        <x:v>42</x:v>
      </x:c>
      <x:c r="G43" s="15" t="n">
        <x:f>IF(OR(A43="",ISBLANK('Source'!F37)),"",'Source'!F37)</x:f>
        <x:v>48</x:v>
      </x:c>
      <x:c r="H43" s="2" t="n">
        <x:f>IF(A43="","",COUNTIFS($B$8:$B$213,B43))</x:f>
        <x:v>1</x:v>
      </x:c>
      <x:c r="I43" s="11" t="str">
        <x:f>IF(A43="","",IF(B43="","Missing ID; ","")&amp;IF(AND(B43&lt;&gt;"",H43&gt;1),"Duplicate ID; ","")&amp;IF(ISNUMBER(C43),IF(OR(C43&lt;'Report'!$C$5,C43&gt;'Report'!$F$5),"Outside reporting period; ",""),"Invalid date; ")&amp;IF(COUNTIFS('Guide'!$B$24:$B$26,D43)=0,"Unknown team; ","")&amp;IF(ISNUMBER(E43),IF(E43&lt;0,"Negative effort; ",""),"Missing/non-numeric effort; ")&amp;IF(ISNUMBER(F43),IF(F43&lt;0,"Negative resolution; ",""),"Missing/non-numeric resolution; ")&amp;IF(ISNUMBER(G43),IF(G43&lt;=0,"Invalid SLA target; ",""),"Missing/non-numeric SLA target; "))</x:f>
      </x:c>
      <x:c r="J43" s="2" t="str">
        <x:f>IF(A43="","",IF(I43="","Included","Review"))</x:f>
        <x:v>Included</x:v>
      </x:c>
      <x:c r="K43" s="2" t="n">
        <x:f>IF(J43="Included",IF(F43&lt;=G43,1,0),"")</x:f>
        <x:v>1</x:v>
      </x:c>
      <x:c r="L43" s="13" t="n">
        <x:f>IF(J43="Included",C43-WEEKDAY(C43,2)+1,"")</x:f>
        <x:v>46300</x:v>
      </x:c>
      <x:c r="M43" s="15" t="n">
        <x:f>IF(J43="Included",E43,0)</x:f>
        <x:v>2.5</x:v>
      </x:c>
      <x:c r="N43" s="15" t="n">
        <x:f>IF(J43="Included",F43,0)</x:f>
        <x:v>42</x:v>
      </x:c>
    </x:row>
    <x:row r="44" ht="32" customHeight="1">
      <x:c r="A44" s="2" t="n">
        <x:f>IF(COUNTA('Source'!A38:F38)=0,"",38)</x:f>
        <x:v>38</x:v>
      </x:c>
      <x:c r="B44" s="2" t="str">
        <x:f>IF(A44="","",UPPER(TRIM('Source'!A38&amp;"")))</x:f>
        <x:v>TU-0037</x:v>
      </x:c>
      <x:c r="C44" s="13" t="n">
        <x:f>IF(OR(A44="",ISBLANK('Source'!B38)),"",'Source'!B38)</x:f>
        <x:v>46301</x:v>
      </x:c>
      <x:c r="D44" s="2" t="str">
        <x:f>IF(A44="","",UPPER(TRIM('Source'!C38&amp;"")))</x:f>
        <x:v>SUPPORT</x:v>
      </x:c>
      <x:c r="E44" s="15" t="n">
        <x:f>IF(OR(A44="",ISBLANK('Source'!D38)),"",'Source'!D38)</x:f>
        <x:v>0.5</x:v>
      </x:c>
      <x:c r="F44" s="15" t="n">
        <x:f>IF(OR(A44="",ISBLANK('Source'!E38)),"",'Source'!E38)</x:f>
        <x:v>8</x:v>
      </x:c>
      <x:c r="G44" s="15" t="n">
        <x:f>IF(OR(A44="",ISBLANK('Source'!F38)),"",'Source'!F38)</x:f>
        <x:v>24</x:v>
      </x:c>
      <x:c r="H44" s="2" t="n">
        <x:f>IF(A44="","",COUNTIFS($B$8:$B$213,B44))</x:f>
        <x:v>1</x:v>
      </x:c>
      <x:c r="I44" s="11" t="str">
        <x:f>IF(A44="","",IF(B44="","Missing ID; ","")&amp;IF(AND(B44&lt;&gt;"",H44&gt;1),"Duplicate ID; ","")&amp;IF(ISNUMBER(C44),IF(OR(C44&lt;'Report'!$C$5,C44&gt;'Report'!$F$5),"Outside reporting period; ",""),"Invalid date; ")&amp;IF(COUNTIFS('Guide'!$B$24:$B$26,D44)=0,"Unknown team; ","")&amp;IF(ISNUMBER(E44),IF(E44&lt;0,"Negative effort; ",""),"Missing/non-numeric effort; ")&amp;IF(ISNUMBER(F44),IF(F44&lt;0,"Negative resolution; ",""),"Missing/non-numeric resolution; ")&amp;IF(ISNUMBER(G44),IF(G44&lt;=0,"Invalid SLA target; ",""),"Missing/non-numeric SLA target; "))</x:f>
      </x:c>
      <x:c r="J44" s="2" t="str">
        <x:f>IF(A44="","",IF(I44="","Included","Review"))</x:f>
        <x:v>Included</x:v>
      </x:c>
      <x:c r="K44" s="2" t="n">
        <x:f>IF(J44="Included",IF(F44&lt;=G44,1,0),"")</x:f>
        <x:v>1</x:v>
      </x:c>
      <x:c r="L44" s="13" t="n">
        <x:f>IF(J44="Included",C44-WEEKDAY(C44,2)+1,"")</x:f>
        <x:v>46300</x:v>
      </x:c>
      <x:c r="M44" s="15" t="n">
        <x:f>IF(J44="Included",E44,0)</x:f>
        <x:v>0.5</x:v>
      </x:c>
      <x:c r="N44" s="15" t="n">
        <x:f>IF(J44="Included",F44,0)</x:f>
        <x:v>8</x:v>
      </x:c>
    </x:row>
    <x:row r="45" ht="32" customHeight="1">
      <x:c r="A45" s="2" t="n">
        <x:f>IF(COUNTA('Source'!A39:F39)=0,"",39)</x:f>
        <x:v>39</x:v>
      </x:c>
      <x:c r="B45" s="2" t="str">
        <x:f>IF(A45="","",UPPER(TRIM('Source'!A39&amp;"")))</x:f>
        <x:v>TU-0038</x:v>
      </x:c>
      <x:c r="C45" s="13" t="n">
        <x:f>IF(OR(A45="",ISBLANK('Source'!B39)),"",'Source'!B39)</x:f>
        <x:v>46302</x:v>
      </x:c>
      <x:c r="D45" s="2" t="str">
        <x:f>IF(A45="","",UPPER(TRIM('Source'!C39&amp;"")))</x:f>
        <x:v>LOGISTICS</x:v>
      </x:c>
      <x:c r="E45" s="15" t="n">
        <x:f>IF(OR(A45="",ISBLANK('Source'!D39)),"",'Source'!D39)</x:f>
        <x:v>0.75</x:v>
      </x:c>
      <x:c r="F45" s="15" t="n">
        <x:f>IF(OR(A45="",ISBLANK('Source'!E39)),"",'Source'!E39)</x:f>
        <x:v>15</x:v>
      </x:c>
      <x:c r="G45" s="15" t="n">
        <x:f>IF(OR(A45="",ISBLANK('Source'!F39)),"",'Source'!F39)</x:f>
        <x:v>48</x:v>
      </x:c>
      <x:c r="H45" s="2" t="n">
        <x:f>IF(A45="","",COUNTIFS($B$8:$B$213,B45))</x:f>
        <x:v>1</x:v>
      </x:c>
      <x:c r="I45" s="11" t="str">
        <x:f>IF(A45="","",IF(B45="","Missing ID; ","")&amp;IF(AND(B45&lt;&gt;"",H45&gt;1),"Duplicate ID; ","")&amp;IF(ISNUMBER(C45),IF(OR(C45&lt;'Report'!$C$5,C45&gt;'Report'!$F$5),"Outside reporting period; ",""),"Invalid date; ")&amp;IF(COUNTIFS('Guide'!$B$24:$B$26,D45)=0,"Unknown team; ","")&amp;IF(ISNUMBER(E45),IF(E45&lt;0,"Negative effort; ",""),"Missing/non-numeric effort; ")&amp;IF(ISNUMBER(F45),IF(F45&lt;0,"Negative resolution; ",""),"Missing/non-numeric resolution; ")&amp;IF(ISNUMBER(G45),IF(G45&lt;=0,"Invalid SLA target; ",""),"Missing/non-numeric SLA target; "))</x:f>
      </x:c>
      <x:c r="J45" s="2" t="str">
        <x:f>IF(A45="","",IF(I45="","Included","Review"))</x:f>
        <x:v>Included</x:v>
      </x:c>
      <x:c r="K45" s="2" t="n">
        <x:f>IF(J45="Included",IF(F45&lt;=G45,1,0),"")</x:f>
        <x:v>1</x:v>
      </x:c>
      <x:c r="L45" s="13" t="n">
        <x:f>IF(J45="Included",C45-WEEKDAY(C45,2)+1,"")</x:f>
        <x:v>46300</x:v>
      </x:c>
      <x:c r="M45" s="15" t="n">
        <x:f>IF(J45="Included",E45,0)</x:f>
        <x:v>0.75</x:v>
      </x:c>
      <x:c r="N45" s="15" t="n">
        <x:f>IF(J45="Included",F45,0)</x:f>
        <x:v>15</x:v>
      </x:c>
    </x:row>
    <x:row r="46" ht="32" customHeight="1">
      <x:c r="A46" s="2" t="n">
        <x:f>IF(COUNTA('Source'!A40:F40)=0,"",40)</x:f>
        <x:v>40</x:v>
      </x:c>
      <x:c r="B46" s="2" t="str">
        <x:f>IF(A46="","",UPPER(TRIM('Source'!A40&amp;"")))</x:f>
        <x:v>TU-0039</x:v>
      </x:c>
      <x:c r="C46" s="13" t="n">
        <x:f>IF(OR(A46="",ISBLANK('Source'!B40)),"",'Source'!B40)</x:f>
        <x:v>46303</x:v>
      </x:c>
      <x:c r="D46" s="2" t="str">
        <x:f>IF(A46="","",UPPER(TRIM('Source'!C40&amp;"")))</x:f>
        <x:v>FIELD</x:v>
      </x:c>
      <x:c r="E46" s="15" t="n">
        <x:f>IF(OR(A46="",ISBLANK('Source'!D40)),"",'Source'!D40)</x:f>
        <x:v>1</x:v>
      </x:c>
      <x:c r="F46" s="15" t="n">
        <x:f>IF(OR(A46="",ISBLANK('Source'!E40)),"",'Source'!E40)</x:f>
        <x:v>22</x:v>
      </x:c>
      <x:c r="G46" s="15" t="n">
        <x:f>IF(OR(A46="",ISBLANK('Source'!F40)),"",'Source'!F40)</x:f>
        <x:v>48</x:v>
      </x:c>
      <x:c r="H46" s="2" t="n">
        <x:f>IF(A46="","",COUNTIFS($B$8:$B$213,B46))</x:f>
        <x:v>1</x:v>
      </x:c>
      <x:c r="I46" s="11" t="str">
        <x:f>IF(A46="","",IF(B46="","Missing ID; ","")&amp;IF(AND(B46&lt;&gt;"",H46&gt;1),"Duplicate ID; ","")&amp;IF(ISNUMBER(C46),IF(OR(C46&lt;'Report'!$C$5,C46&gt;'Report'!$F$5),"Outside reporting period; ",""),"Invalid date; ")&amp;IF(COUNTIFS('Guide'!$B$24:$B$26,D46)=0,"Unknown team; ","")&amp;IF(ISNUMBER(E46),IF(E46&lt;0,"Negative effort; ",""),"Missing/non-numeric effort; ")&amp;IF(ISNUMBER(F46),IF(F46&lt;0,"Negative resolution; ",""),"Missing/non-numeric resolution; ")&amp;IF(ISNUMBER(G46),IF(G46&lt;=0,"Invalid SLA target; ",""),"Missing/non-numeric SLA target; "))</x:f>
      </x:c>
      <x:c r="J46" s="2" t="str">
        <x:f>IF(A46="","",IF(I46="","Included","Review"))</x:f>
        <x:v>Included</x:v>
      </x:c>
      <x:c r="K46" s="2" t="n">
        <x:f>IF(J46="Included",IF(F46&lt;=G46,1,0),"")</x:f>
        <x:v>1</x:v>
      </x:c>
      <x:c r="L46" s="13" t="n">
        <x:f>IF(J46="Included",C46-WEEKDAY(C46,2)+1,"")</x:f>
        <x:v>46300</x:v>
      </x:c>
      <x:c r="M46" s="15" t="n">
        <x:f>IF(J46="Included",E46,0)</x:f>
        <x:v>1</x:v>
      </x:c>
      <x:c r="N46" s="15" t="n">
        <x:f>IF(J46="Included",F46,0)</x:f>
        <x:v>22</x:v>
      </x:c>
    </x:row>
    <x:row r="47" ht="32" customHeight="1">
      <x:c r="A47" s="2" t="n">
        <x:f>IF(COUNTA('Source'!A41:F41)=0,"",41)</x:f>
        <x:v>41</x:v>
      </x:c>
      <x:c r="B47" s="2" t="str">
        <x:f>IF(A47="","",UPPER(TRIM('Source'!A41&amp;"")))</x:f>
        <x:v>TU-0040</x:v>
      </x:c>
      <x:c r="C47" s="13" t="n">
        <x:f>IF(OR(A47="",ISBLANK('Source'!B41)),"",'Source'!B41)</x:f>
        <x:v>46304</x:v>
      </x:c>
      <x:c r="D47" s="2" t="str">
        <x:f>IF(A47="","",UPPER(TRIM('Source'!C41&amp;"")))</x:f>
        <x:v>SUPPORT</x:v>
      </x:c>
      <x:c r="E47" s="15" t="n">
        <x:f>IF(OR(A47="",ISBLANK('Source'!D41)),"",'Source'!D41)</x:f>
        <x:v>1.25</x:v>
      </x:c>
      <x:c r="F47" s="15" t="n">
        <x:f>IF(OR(A47="",ISBLANK('Source'!E41)),"",'Source'!E41)</x:f>
        <x:v>29</x:v>
      </x:c>
      <x:c r="G47" s="15" t="n">
        <x:f>IF(OR(A47="",ISBLANK('Source'!F41)),"",'Source'!F41)</x:f>
        <x:v>24</x:v>
      </x:c>
      <x:c r="H47" s="2" t="n">
        <x:f>IF(A47="","",COUNTIFS($B$8:$B$213,B47))</x:f>
        <x:v>1</x:v>
      </x:c>
      <x:c r="I47" s="11" t="str">
        <x:f>IF(A47="","",IF(B47="","Missing ID; ","")&amp;IF(AND(B47&lt;&gt;"",H47&gt;1),"Duplicate ID; ","")&amp;IF(ISNUMBER(C47),IF(OR(C47&lt;'Report'!$C$5,C47&gt;'Report'!$F$5),"Outside reporting period; ",""),"Invalid date; ")&amp;IF(COUNTIFS('Guide'!$B$24:$B$26,D47)=0,"Unknown team; ","")&amp;IF(ISNUMBER(E47),IF(E47&lt;0,"Negative effort; ",""),"Missing/non-numeric effort; ")&amp;IF(ISNUMBER(F47),IF(F47&lt;0,"Negative resolution; ",""),"Missing/non-numeric resolution; ")&amp;IF(ISNUMBER(G47),IF(G47&lt;=0,"Invalid SLA target; ",""),"Missing/non-numeric SLA target; "))</x:f>
      </x:c>
      <x:c r="J47" s="2" t="str">
        <x:f>IF(A47="","",IF(I47="","Included","Review"))</x:f>
        <x:v>Included</x:v>
      </x:c>
      <x:c r="K47" s="2" t="n">
        <x:f>IF(J47="Included",IF(F47&lt;=G47,1,0),"")</x:f>
        <x:v>0</x:v>
      </x:c>
      <x:c r="L47" s="13" t="n">
        <x:f>IF(J47="Included",C47-WEEKDAY(C47,2)+1,"")</x:f>
        <x:v>46300</x:v>
      </x:c>
      <x:c r="M47" s="15" t="n">
        <x:f>IF(J47="Included",E47,0)</x:f>
        <x:v>1.25</x:v>
      </x:c>
      <x:c r="N47" s="15" t="n">
        <x:f>IF(J47="Included",F47,0)</x:f>
        <x:v>29</x:v>
      </x:c>
    </x:row>
    <x:row r="48" ht="32" customHeight="1">
      <x:c r="A48" s="2" t="n">
        <x:f>IF(COUNTA('Source'!A42:F42)=0,"",42)</x:f>
        <x:v>42</x:v>
      </x:c>
      <x:c r="B48" s="2" t="str">
        <x:f>IF(A48="","",UPPER(TRIM('Source'!A42&amp;"")))</x:f>
        <x:v>TU-0041</x:v>
      </x:c>
      <x:c r="C48" s="13" t="n">
        <x:f>IF(OR(A48="",ISBLANK('Source'!B42)),"",'Source'!B42)</x:f>
        <x:v>46300</x:v>
      </x:c>
      <x:c r="D48" s="2" t="str">
        <x:f>IF(A48="","",UPPER(TRIM('Source'!C42&amp;"")))</x:f>
        <x:v>LOGISTICS</x:v>
      </x:c>
      <x:c r="E48" s="15" t="n">
        <x:f>IF(OR(A48="",ISBLANK('Source'!D42)),"",'Source'!D42)</x:f>
        <x:v>1.5</x:v>
      </x:c>
      <x:c r="F48" s="15" t="n">
        <x:f>IF(OR(A48="",ISBLANK('Source'!E42)),"",'Source'!E42)</x:f>
        <x:v>36</x:v>
      </x:c>
      <x:c r="G48" s="15" t="n">
        <x:f>IF(OR(A48="",ISBLANK('Source'!F42)),"",'Source'!F42)</x:f>
        <x:v>48</x:v>
      </x:c>
      <x:c r="H48" s="2" t="n">
        <x:f>IF(A48="","",COUNTIFS($B$8:$B$213,B48))</x:f>
        <x:v>2</x:v>
      </x:c>
      <x:c r="I48" s="11" t="str">
        <x:f>IF(A48="","",IF(B48="","Missing ID; ","")&amp;IF(AND(B48&lt;&gt;"",H48&gt;1),"Duplicate ID; ","")&amp;IF(ISNUMBER(C48),IF(OR(C48&lt;'Report'!$C$5,C48&gt;'Report'!$F$5),"Outside reporting period; ",""),"Invalid date; ")&amp;IF(COUNTIFS('Guide'!$B$24:$B$26,D48)=0,"Unknown team; ","")&amp;IF(ISNUMBER(E48),IF(E48&lt;0,"Negative effort; ",""),"Missing/non-numeric effort; ")&amp;IF(ISNUMBER(F48),IF(F48&lt;0,"Negative resolution; ",""),"Missing/non-numeric resolution; ")&amp;IF(ISNUMBER(G48),IF(G48&lt;=0,"Invalid SLA target; ",""),"Missing/non-numeric SLA target; "))</x:f>
        <x:v>Duplicate ID; </x:v>
      </x:c>
      <x:c r="J48" s="2" t="str">
        <x:f>IF(A48="","",IF(I48="","Included","Review"))</x:f>
        <x:v>Review</x:v>
      </x:c>
      <x:c r="K48" s="2" t="str">
        <x:f>IF(J48="Included",IF(F48&lt;=G48,1,0),"")</x:f>
      </x:c>
      <x:c r="L48" s="13" t="str">
        <x:f>IF(J48="Included",C48-WEEKDAY(C48,2)+1,"")</x:f>
      </x:c>
      <x:c r="M48" s="15" t="n">
        <x:f>IF(J48="Included",E48,0)</x:f>
        <x:v>0</x:v>
      </x:c>
      <x:c r="N48" s="15" t="n">
        <x:f>IF(J48="Included",F48,0)</x:f>
        <x:v>0</x:v>
      </x:c>
    </x:row>
    <x:row r="49" ht="32" customHeight="1">
      <x:c r="A49" s="2" t="n">
        <x:f>IF(COUNTA('Source'!A43:F43)=0,"",43)</x:f>
        <x:v>43</x:v>
      </x:c>
      <x:c r="B49" s="2" t="str">
        <x:f>IF(A49="","",UPPER(TRIM('Source'!A43&amp;"")))</x:f>
        <x:v>TU-0042</x:v>
      </x:c>
      <x:c r="C49" s="13" t="n">
        <x:f>IF(OR(A49="",ISBLANK('Source'!B43)),"",'Source'!B43)</x:f>
        <x:v>46301</x:v>
      </x:c>
      <x:c r="D49" s="2" t="str">
        <x:f>IF(A49="","",UPPER(TRIM('Source'!C43&amp;"")))</x:f>
        <x:v>FIELD</x:v>
      </x:c>
      <x:c r="E49" s="15" t="n">
        <x:f>IF(OR(A49="",ISBLANK('Source'!D43)),"",'Source'!D43)</x:f>
        <x:v>1.75</x:v>
      </x:c>
      <x:c r="F49" s="15" t="n">
        <x:f>IF(OR(A49="",ISBLANK('Source'!E43)),"",'Source'!E43)</x:f>
        <x:v>2</x:v>
      </x:c>
      <x:c r="G49" s="15" t="n">
        <x:f>IF(OR(A49="",ISBLANK('Source'!F43)),"",'Source'!F43)</x:f>
        <x:v>48</x:v>
      </x:c>
      <x:c r="H49" s="2" t="n">
        <x:f>IF(A49="","",COUNTIFS($B$8:$B$213,B49))</x:f>
        <x:v>1</x:v>
      </x:c>
      <x:c r="I49" s="11" t="str">
        <x:f>IF(A49="","",IF(B49="","Missing ID; ","")&amp;IF(AND(B49&lt;&gt;"",H49&gt;1),"Duplicate ID; ","")&amp;IF(ISNUMBER(C49),IF(OR(C49&lt;'Report'!$C$5,C49&gt;'Report'!$F$5),"Outside reporting period; ",""),"Invalid date; ")&amp;IF(COUNTIFS('Guide'!$B$24:$B$26,D49)=0,"Unknown team; ","")&amp;IF(ISNUMBER(E49),IF(E49&lt;0,"Negative effort; ",""),"Missing/non-numeric effort; ")&amp;IF(ISNUMBER(F49),IF(F49&lt;0,"Negative resolution; ",""),"Missing/non-numeric resolution; ")&amp;IF(ISNUMBER(G49),IF(G49&lt;=0,"Invalid SLA target; ",""),"Missing/non-numeric SLA target; "))</x:f>
      </x:c>
      <x:c r="J49" s="2" t="str">
        <x:f>IF(A49="","",IF(I49="","Included","Review"))</x:f>
        <x:v>Included</x:v>
      </x:c>
      <x:c r="K49" s="2" t="n">
        <x:f>IF(J49="Included",IF(F49&lt;=G49,1,0),"")</x:f>
        <x:v>1</x:v>
      </x:c>
      <x:c r="L49" s="13" t="n">
        <x:f>IF(J49="Included",C49-WEEKDAY(C49,2)+1,"")</x:f>
        <x:v>46300</x:v>
      </x:c>
      <x:c r="M49" s="15" t="n">
        <x:f>IF(J49="Included",E49,0)</x:f>
        <x:v>1.75</x:v>
      </x:c>
      <x:c r="N49" s="15" t="n">
        <x:f>IF(J49="Included",F49,0)</x:f>
        <x:v>2</x:v>
      </x:c>
    </x:row>
    <x:row r="50" ht="32" customHeight="1">
      <x:c r="A50" s="2" t="n">
        <x:f>IF(COUNTA('Source'!A44:F44)=0,"",44)</x:f>
        <x:v>44</x:v>
      </x:c>
      <x:c r="B50" s="2" t="str">
        <x:f>IF(A50="","",UPPER(TRIM('Source'!A44&amp;"")))</x:f>
        <x:v>TU-0043</x:v>
      </x:c>
      <x:c r="C50" s="13" t="n">
        <x:f>IF(OR(A50="",ISBLANK('Source'!B44)),"",'Source'!B44)</x:f>
        <x:v>46302</x:v>
      </x:c>
      <x:c r="D50" s="2" t="str">
        <x:f>IF(A50="","",UPPER(TRIM('Source'!C44&amp;"")))</x:f>
        <x:v>SUPPORT</x:v>
      </x:c>
      <x:c r="E50" s="15" t="n">
        <x:f>IF(OR(A50="",ISBLANK('Source'!D44)),"",'Source'!D44)</x:f>
        <x:v>2</x:v>
      </x:c>
      <x:c r="F50" s="15" t="n">
        <x:f>IF(OR(A50="",ISBLANK('Source'!E44)),"",'Source'!E44)</x:f>
        <x:v>9</x:v>
      </x:c>
      <x:c r="G50" s="15" t="n">
        <x:f>IF(OR(A50="",ISBLANK('Source'!F44)),"",'Source'!F44)</x:f>
        <x:v>24</x:v>
      </x:c>
      <x:c r="H50" s="2" t="n">
        <x:f>IF(A50="","",COUNTIFS($B$8:$B$213,B50))</x:f>
        <x:v>1</x:v>
      </x:c>
      <x:c r="I50" s="11" t="str">
        <x:f>IF(A50="","",IF(B50="","Missing ID; ","")&amp;IF(AND(B50&lt;&gt;"",H50&gt;1),"Duplicate ID; ","")&amp;IF(ISNUMBER(C50),IF(OR(C50&lt;'Report'!$C$5,C50&gt;'Report'!$F$5),"Outside reporting period; ",""),"Invalid date; ")&amp;IF(COUNTIFS('Guide'!$B$24:$B$26,D50)=0,"Unknown team; ","")&amp;IF(ISNUMBER(E50),IF(E50&lt;0,"Negative effort; ",""),"Missing/non-numeric effort; ")&amp;IF(ISNUMBER(F50),IF(F50&lt;0,"Negative resolution; ",""),"Missing/non-numeric resolution; ")&amp;IF(ISNUMBER(G50),IF(G50&lt;=0,"Invalid SLA target; ",""),"Missing/non-numeric SLA target; "))</x:f>
      </x:c>
      <x:c r="J50" s="2" t="str">
        <x:f>IF(A50="","",IF(I50="","Included","Review"))</x:f>
        <x:v>Included</x:v>
      </x:c>
      <x:c r="K50" s="2" t="n">
        <x:f>IF(J50="Included",IF(F50&lt;=G50,1,0),"")</x:f>
        <x:v>1</x:v>
      </x:c>
      <x:c r="L50" s="13" t="n">
        <x:f>IF(J50="Included",C50-WEEKDAY(C50,2)+1,"")</x:f>
        <x:v>46300</x:v>
      </x:c>
      <x:c r="M50" s="15" t="n">
        <x:f>IF(J50="Included",E50,0)</x:f>
        <x:v>2</x:v>
      </x:c>
      <x:c r="N50" s="15" t="n">
        <x:f>IF(J50="Included",F50,0)</x:f>
        <x:v>9</x:v>
      </x:c>
    </x:row>
    <x:row r="51" ht="32" customHeight="1">
      <x:c r="A51" s="2" t="n">
        <x:f>IF(COUNTA('Source'!A45:F45)=0,"",45)</x:f>
        <x:v>45</x:v>
      </x:c>
      <x:c r="B51" s="2" t="str">
        <x:f>IF(A51="","",UPPER(TRIM('Source'!A45&amp;"")))</x:f>
        <x:v>TU-0044</x:v>
      </x:c>
      <x:c r="C51" s="13" t="n">
        <x:f>IF(OR(A51="",ISBLANK('Source'!B45)),"",'Source'!B45)</x:f>
        <x:v>46303</x:v>
      </x:c>
      <x:c r="D51" s="2" t="str">
        <x:f>IF(A51="","",UPPER(TRIM('Source'!C45&amp;"")))</x:f>
        <x:v>LOGISTICS</x:v>
      </x:c>
      <x:c r="E51" s="15" t="n">
        <x:f>IF(OR(A51="",ISBLANK('Source'!D45)),"",'Source'!D45)</x:f>
        <x:v>2.25</x:v>
      </x:c>
      <x:c r="F51" s="15" t="n">
        <x:f>IF(OR(A51="",ISBLANK('Source'!E45)),"",'Source'!E45)</x:f>
        <x:v>16</x:v>
      </x:c>
      <x:c r="G51" s="15" t="n">
        <x:f>IF(OR(A51="",ISBLANK('Source'!F45)),"",'Source'!F45)</x:f>
        <x:v>48</x:v>
      </x:c>
      <x:c r="H51" s="2" t="n">
        <x:f>IF(A51="","",COUNTIFS($B$8:$B$213,B51))</x:f>
        <x:v>1</x:v>
      </x:c>
      <x:c r="I51" s="11" t="str">
        <x:f>IF(A51="","",IF(B51="","Missing ID; ","")&amp;IF(AND(B51&lt;&gt;"",H51&gt;1),"Duplicate ID; ","")&amp;IF(ISNUMBER(C51),IF(OR(C51&lt;'Report'!$C$5,C51&gt;'Report'!$F$5),"Outside reporting period; ",""),"Invalid date; ")&amp;IF(COUNTIFS('Guide'!$B$24:$B$26,D51)=0,"Unknown team; ","")&amp;IF(ISNUMBER(E51),IF(E51&lt;0,"Negative effort; ",""),"Missing/non-numeric effort; ")&amp;IF(ISNUMBER(F51),IF(F51&lt;0,"Negative resolution; ",""),"Missing/non-numeric resolution; ")&amp;IF(ISNUMBER(G51),IF(G51&lt;=0,"Invalid SLA target; ",""),"Missing/non-numeric SLA target; "))</x:f>
      </x:c>
      <x:c r="J51" s="2" t="str">
        <x:f>IF(A51="","",IF(I51="","Included","Review"))</x:f>
        <x:v>Included</x:v>
      </x:c>
      <x:c r="K51" s="2" t="n">
        <x:f>IF(J51="Included",IF(F51&lt;=G51,1,0),"")</x:f>
        <x:v>1</x:v>
      </x:c>
      <x:c r="L51" s="13" t="n">
        <x:f>IF(J51="Included",C51-WEEKDAY(C51,2)+1,"")</x:f>
        <x:v>46300</x:v>
      </x:c>
      <x:c r="M51" s="15" t="n">
        <x:f>IF(J51="Included",E51,0)</x:f>
        <x:v>2.25</x:v>
      </x:c>
      <x:c r="N51" s="15" t="n">
        <x:f>IF(J51="Included",F51,0)</x:f>
        <x:v>16</x:v>
      </x:c>
    </x:row>
    <x:row r="52" ht="32" customHeight="1">
      <x:c r="A52" s="2" t="n">
        <x:f>IF(COUNTA('Source'!A46:F46)=0,"",46)</x:f>
        <x:v>46</x:v>
      </x:c>
      <x:c r="B52" s="2" t="str">
        <x:f>IF(A52="","",UPPER(TRIM('Source'!A46&amp;"")))</x:f>
        <x:v>TU-0045</x:v>
      </x:c>
      <x:c r="C52" s="13" t="n">
        <x:f>IF(OR(A52="",ISBLANK('Source'!B46)),"",'Source'!B46)</x:f>
        <x:v>46304</x:v>
      </x:c>
      <x:c r="D52" s="2" t="str">
        <x:f>IF(A52="","",UPPER(TRIM('Source'!C46&amp;"")))</x:f>
        <x:v>FIELD</x:v>
      </x:c>
      <x:c r="E52" s="15" t="n">
        <x:f>IF(OR(A52="",ISBLANK('Source'!D46)),"",'Source'!D46)</x:f>
        <x:v>2.5</x:v>
      </x:c>
      <x:c r="F52" s="15" t="n">
        <x:f>IF(OR(A52="",ISBLANK('Source'!E46)),"",'Source'!E46)</x:f>
        <x:v>23</x:v>
      </x:c>
      <x:c r="G52" s="15" t="n">
        <x:f>IF(OR(A52="",ISBLANK('Source'!F46)),"",'Source'!F46)</x:f>
        <x:v>48</x:v>
      </x:c>
      <x:c r="H52" s="2" t="n">
        <x:f>IF(A52="","",COUNTIFS($B$8:$B$213,B52))</x:f>
        <x:v>1</x:v>
      </x:c>
      <x:c r="I52" s="11" t="str">
        <x:f>IF(A52="","",IF(B52="","Missing ID; ","")&amp;IF(AND(B52&lt;&gt;"",H52&gt;1),"Duplicate ID; ","")&amp;IF(ISNUMBER(C52),IF(OR(C52&lt;'Report'!$C$5,C52&gt;'Report'!$F$5),"Outside reporting period; ",""),"Invalid date; ")&amp;IF(COUNTIFS('Guide'!$B$24:$B$26,D52)=0,"Unknown team; ","")&amp;IF(ISNUMBER(E52),IF(E52&lt;0,"Negative effort; ",""),"Missing/non-numeric effort; ")&amp;IF(ISNUMBER(F52),IF(F52&lt;0,"Negative resolution; ",""),"Missing/non-numeric resolution; ")&amp;IF(ISNUMBER(G52),IF(G52&lt;=0,"Invalid SLA target; ",""),"Missing/non-numeric SLA target; "))</x:f>
      </x:c>
      <x:c r="J52" s="2" t="str">
        <x:f>IF(A52="","",IF(I52="","Included","Review"))</x:f>
        <x:v>Included</x:v>
      </x:c>
      <x:c r="K52" s="2" t="n">
        <x:f>IF(J52="Included",IF(F52&lt;=G52,1,0),"")</x:f>
        <x:v>1</x:v>
      </x:c>
      <x:c r="L52" s="13" t="n">
        <x:f>IF(J52="Included",C52-WEEKDAY(C52,2)+1,"")</x:f>
        <x:v>46300</x:v>
      </x:c>
      <x:c r="M52" s="15" t="n">
        <x:f>IF(J52="Included",E52,0)</x:f>
        <x:v>2.5</x:v>
      </x:c>
      <x:c r="N52" s="15" t="n">
        <x:f>IF(J52="Included",F52,0)</x:f>
        <x:v>23</x:v>
      </x:c>
    </x:row>
    <x:row r="53" ht="32" customHeight="1">
      <x:c r="A53" s="2" t="n">
        <x:f>IF(COUNTA('Source'!A47:F47)=0,"",47)</x:f>
        <x:v>47</x:v>
      </x:c>
      <x:c r="B53" s="2" t="str">
        <x:f>IF(A53="","",UPPER(TRIM('Source'!A47&amp;"")))</x:f>
        <x:v>TU-0046</x:v>
      </x:c>
      <x:c r="C53" s="13" t="n">
        <x:f>IF(OR(A53="",ISBLANK('Source'!B47)),"",'Source'!B47)</x:f>
        <x:v>46300</x:v>
      </x:c>
      <x:c r="D53" s="2" t="str">
        <x:f>IF(A53="","",UPPER(TRIM('Source'!C47&amp;"")))</x:f>
        <x:v>SUPPORT</x:v>
      </x:c>
      <x:c r="E53" s="15" t="n">
        <x:f>IF(OR(A53="",ISBLANK('Source'!D47)),"",'Source'!D47)</x:f>
        <x:v>0.5</x:v>
      </x:c>
      <x:c r="F53" s="15" t="n">
        <x:f>IF(OR(A53="",ISBLANK('Source'!E47)),"",'Source'!E47)</x:f>
        <x:v>30</x:v>
      </x:c>
      <x:c r="G53" s="15" t="n">
        <x:f>IF(OR(A53="",ISBLANK('Source'!F47)),"",'Source'!F47)</x:f>
        <x:v>24</x:v>
      </x:c>
      <x:c r="H53" s="2" t="n">
        <x:f>IF(A53="","",COUNTIFS($B$8:$B$213,B53))</x:f>
        <x:v>1</x:v>
      </x:c>
      <x:c r="I53" s="11" t="str">
        <x:f>IF(A53="","",IF(B53="","Missing ID; ","")&amp;IF(AND(B53&lt;&gt;"",H53&gt;1),"Duplicate ID; ","")&amp;IF(ISNUMBER(C53),IF(OR(C53&lt;'Report'!$C$5,C53&gt;'Report'!$F$5),"Outside reporting period; ",""),"Invalid date; ")&amp;IF(COUNTIFS('Guide'!$B$24:$B$26,D53)=0,"Unknown team; ","")&amp;IF(ISNUMBER(E53),IF(E53&lt;0,"Negative effort; ",""),"Missing/non-numeric effort; ")&amp;IF(ISNUMBER(F53),IF(F53&lt;0,"Negative resolution; ",""),"Missing/non-numeric resolution; ")&amp;IF(ISNUMBER(G53),IF(G53&lt;=0,"Invalid SLA target; ",""),"Missing/non-numeric SLA target; "))</x:f>
      </x:c>
      <x:c r="J53" s="2" t="str">
        <x:f>IF(A53="","",IF(I53="","Included","Review"))</x:f>
        <x:v>Included</x:v>
      </x:c>
      <x:c r="K53" s="2" t="n">
        <x:f>IF(J53="Included",IF(F53&lt;=G53,1,0),"")</x:f>
        <x:v>0</x:v>
      </x:c>
      <x:c r="L53" s="13" t="n">
        <x:f>IF(J53="Included",C53-WEEKDAY(C53,2)+1,"")</x:f>
        <x:v>46300</x:v>
      </x:c>
      <x:c r="M53" s="15" t="n">
        <x:f>IF(J53="Included",E53,0)</x:f>
        <x:v>0.5</x:v>
      </x:c>
      <x:c r="N53" s="15" t="n">
        <x:f>IF(J53="Included",F53,0)</x:f>
        <x:v>30</x:v>
      </x:c>
    </x:row>
    <x:row r="54" ht="32" customHeight="1">
      <x:c r="A54" s="2" t="n">
        <x:f>IF(COUNTA('Source'!A48:F48)=0,"",48)</x:f>
        <x:v>48</x:v>
      </x:c>
      <x:c r="B54" s="2" t="str">
        <x:f>IF(A54="","",UPPER(TRIM('Source'!A48&amp;"")))</x:f>
        <x:v>TU-0047</x:v>
      </x:c>
      <x:c r="C54" s="13" t="n">
        <x:f>IF(OR(A54="",ISBLANK('Source'!B48)),"",'Source'!B48)</x:f>
        <x:v>46301</x:v>
      </x:c>
      <x:c r="D54" s="2" t="str">
        <x:f>IF(A54="","",UPPER(TRIM('Source'!C48&amp;"")))</x:f>
        <x:v>LOGISTICS</x:v>
      </x:c>
      <x:c r="E54" s="15" t="n">
        <x:f>IF(OR(A54="",ISBLANK('Source'!D48)),"",'Source'!D48)</x:f>
        <x:v>0.75</x:v>
      </x:c>
      <x:c r="F54" s="15" t="n">
        <x:f>IF(OR(A54="",ISBLANK('Source'!E48)),"",'Source'!E48)</x:f>
        <x:v>37</x:v>
      </x:c>
      <x:c r="G54" s="15" t="n">
        <x:f>IF(OR(A54="",ISBLANK('Source'!F48)),"",'Source'!F48)</x:f>
        <x:v>48</x:v>
      </x:c>
      <x:c r="H54" s="2" t="n">
        <x:f>IF(A54="","",COUNTIFS($B$8:$B$213,B54))</x:f>
        <x:v>1</x:v>
      </x:c>
      <x:c r="I54" s="11" t="str">
        <x:f>IF(A54="","",IF(B54="","Missing ID; ","")&amp;IF(AND(B54&lt;&gt;"",H54&gt;1),"Duplicate ID; ","")&amp;IF(ISNUMBER(C54),IF(OR(C54&lt;'Report'!$C$5,C54&gt;'Report'!$F$5),"Outside reporting period; ",""),"Invalid date; ")&amp;IF(COUNTIFS('Guide'!$B$24:$B$26,D54)=0,"Unknown team; ","")&amp;IF(ISNUMBER(E54),IF(E54&lt;0,"Negative effort; ",""),"Missing/non-numeric effort; ")&amp;IF(ISNUMBER(F54),IF(F54&lt;0,"Negative resolution; ",""),"Missing/non-numeric resolution; ")&amp;IF(ISNUMBER(G54),IF(G54&lt;=0,"Invalid SLA target; ",""),"Missing/non-numeric SLA target; "))</x:f>
      </x:c>
      <x:c r="J54" s="2" t="str">
        <x:f>IF(A54="","",IF(I54="","Included","Review"))</x:f>
        <x:v>Included</x:v>
      </x:c>
      <x:c r="K54" s="2" t="n">
        <x:f>IF(J54="Included",IF(F54&lt;=G54,1,0),"")</x:f>
        <x:v>1</x:v>
      </x:c>
      <x:c r="L54" s="13" t="n">
        <x:f>IF(J54="Included",C54-WEEKDAY(C54,2)+1,"")</x:f>
        <x:v>46300</x:v>
      </x:c>
      <x:c r="M54" s="15" t="n">
        <x:f>IF(J54="Included",E54,0)</x:f>
        <x:v>0.75</x:v>
      </x:c>
      <x:c r="N54" s="15" t="n">
        <x:f>IF(J54="Included",F54,0)</x:f>
        <x:v>37</x:v>
      </x:c>
    </x:row>
    <x:row r="55" ht="32" customHeight="1">
      <x:c r="A55" s="2" t="n">
        <x:f>IF(COUNTA('Source'!A49:F49)=0,"",49)</x:f>
        <x:v>49</x:v>
      </x:c>
      <x:c r="B55" s="2" t="str">
        <x:f>IF(A55="","",UPPER(TRIM('Source'!A49&amp;"")))</x:f>
        <x:v>TU-0048</x:v>
      </x:c>
      <x:c r="C55" s="13" t="n">
        <x:f>IF(OR(A55="",ISBLANK('Source'!B49)),"",'Source'!B49)</x:f>
        <x:v>46302</x:v>
      </x:c>
      <x:c r="D55" s="2" t="str">
        <x:f>IF(A55="","",UPPER(TRIM('Source'!C49&amp;"")))</x:f>
        <x:v>FIELD</x:v>
      </x:c>
      <x:c r="E55" s="15" t="n">
        <x:f>IF(OR(A55="",ISBLANK('Source'!D49)),"",'Source'!D49)</x:f>
        <x:v>1</x:v>
      </x:c>
      <x:c r="F55" s="15" t="n">
        <x:f>IF(OR(A55="",ISBLANK('Source'!E49)),"",'Source'!E49)</x:f>
        <x:v>3</x:v>
      </x:c>
      <x:c r="G55" s="15" t="n">
        <x:f>IF(OR(A55="",ISBLANK('Source'!F49)),"",'Source'!F49)</x:f>
        <x:v>48</x:v>
      </x:c>
      <x:c r="H55" s="2" t="n">
        <x:f>IF(A55="","",COUNTIFS($B$8:$B$213,B55))</x:f>
        <x:v>1</x:v>
      </x:c>
      <x:c r="I55" s="11" t="str">
        <x:f>IF(A55="","",IF(B55="","Missing ID; ","")&amp;IF(AND(B55&lt;&gt;"",H55&gt;1),"Duplicate ID; ","")&amp;IF(ISNUMBER(C55),IF(OR(C55&lt;'Report'!$C$5,C55&gt;'Report'!$F$5),"Outside reporting period; ",""),"Invalid date; ")&amp;IF(COUNTIFS('Guide'!$B$24:$B$26,D55)=0,"Unknown team; ","")&amp;IF(ISNUMBER(E55),IF(E55&lt;0,"Negative effort; ",""),"Missing/non-numeric effort; ")&amp;IF(ISNUMBER(F55),IF(F55&lt;0,"Negative resolution; ",""),"Missing/non-numeric resolution; ")&amp;IF(ISNUMBER(G55),IF(G55&lt;=0,"Invalid SLA target; ",""),"Missing/non-numeric SLA target; "))</x:f>
      </x:c>
      <x:c r="J55" s="2" t="str">
        <x:f>IF(A55="","",IF(I55="","Included","Review"))</x:f>
        <x:v>Included</x:v>
      </x:c>
      <x:c r="K55" s="2" t="n">
        <x:f>IF(J55="Included",IF(F55&lt;=G55,1,0),"")</x:f>
        <x:v>1</x:v>
      </x:c>
      <x:c r="L55" s="13" t="n">
        <x:f>IF(J55="Included",C55-WEEKDAY(C55,2)+1,"")</x:f>
        <x:v>46300</x:v>
      </x:c>
      <x:c r="M55" s="15" t="n">
        <x:f>IF(J55="Included",E55,0)</x:f>
        <x:v>1</x:v>
      </x:c>
      <x:c r="N55" s="15" t="n">
        <x:f>IF(J55="Included",F55,0)</x:f>
        <x:v>3</x:v>
      </x:c>
    </x:row>
    <x:row r="56" ht="32" customHeight="1">
      <x:c r="A56" s="2" t="n">
        <x:f>IF(COUNTA('Source'!A50:F50)=0,"",50)</x:f>
        <x:v>50</x:v>
      </x:c>
      <x:c r="B56" s="2" t="str">
        <x:f>IF(A56="","",UPPER(TRIM('Source'!A50&amp;"")))</x:f>
        <x:v>TU-0049</x:v>
      </x:c>
      <x:c r="C56" s="13" t="n">
        <x:f>IF(OR(A56="",ISBLANK('Source'!B50)),"",'Source'!B50)</x:f>
        <x:v>46310</x:v>
      </x:c>
      <x:c r="D56" s="2" t="str">
        <x:f>IF(A56="","",UPPER(TRIM('Source'!C50&amp;"")))</x:f>
        <x:v>SUPPORT</x:v>
      </x:c>
      <x:c r="E56" s="15" t="n">
        <x:f>IF(OR(A56="",ISBLANK('Source'!D50)),"",'Source'!D50)</x:f>
        <x:v>1.25</x:v>
      </x:c>
      <x:c r="F56" s="15" t="n">
        <x:f>IF(OR(A56="",ISBLANK('Source'!E50)),"",'Source'!E50)</x:f>
        <x:v>10</x:v>
      </x:c>
      <x:c r="G56" s="15" t="n">
        <x:f>IF(OR(A56="",ISBLANK('Source'!F50)),"",'Source'!F50)</x:f>
        <x:v>24</x:v>
      </x:c>
      <x:c r="H56" s="2" t="n">
        <x:f>IF(A56="","",COUNTIFS($B$8:$B$213,B56))</x:f>
        <x:v>1</x:v>
      </x:c>
      <x:c r="I56" s="11" t="str">
        <x:f>IF(A56="","",IF(B56="","Missing ID; ","")&amp;IF(AND(B56&lt;&gt;"",H56&gt;1),"Duplicate ID; ","")&amp;IF(ISNUMBER(C56),IF(OR(C56&lt;'Report'!$C$5,C56&gt;'Report'!$F$5),"Outside reporting period; ",""),"Invalid date; ")&amp;IF(COUNTIFS('Guide'!$B$24:$B$26,D56)=0,"Unknown team; ","")&amp;IF(ISNUMBER(E56),IF(E56&lt;0,"Negative effort; ",""),"Missing/non-numeric effort; ")&amp;IF(ISNUMBER(F56),IF(F56&lt;0,"Negative resolution; ",""),"Missing/non-numeric resolution; ")&amp;IF(ISNUMBER(G56),IF(G56&lt;=0,"Invalid SLA target; ",""),"Missing/non-numeric SLA target; "))</x:f>
      </x:c>
      <x:c r="J56" s="2" t="str">
        <x:f>IF(A56="","",IF(I56="","Included","Review"))</x:f>
        <x:v>Included</x:v>
      </x:c>
      <x:c r="K56" s="2" t="n">
        <x:f>IF(J56="Included",IF(F56&lt;=G56,1,0),"")</x:f>
        <x:v>1</x:v>
      </x:c>
      <x:c r="L56" s="13" t="n">
        <x:f>IF(J56="Included",C56-WEEKDAY(C56,2)+1,"")</x:f>
        <x:v>46307</x:v>
      </x:c>
      <x:c r="M56" s="15" t="n">
        <x:f>IF(J56="Included",E56,0)</x:f>
        <x:v>1.25</x:v>
      </x:c>
      <x:c r="N56" s="15" t="n">
        <x:f>IF(J56="Included",F56,0)</x:f>
        <x:v>10</x:v>
      </x:c>
    </x:row>
    <x:row r="57" ht="32" customHeight="1">
      <x:c r="A57" s="2" t="n">
        <x:f>IF(COUNTA('Source'!A51:F51)=0,"",51)</x:f>
        <x:v>51</x:v>
      </x:c>
      <x:c r="B57" s="2" t="str">
        <x:f>IF(A57="","",UPPER(TRIM('Source'!A51&amp;"")))</x:f>
        <x:v>TU-0050</x:v>
      </x:c>
      <x:c r="C57" s="13" t="n">
        <x:f>IF(OR(A57="",ISBLANK('Source'!B51)),"",'Source'!B51)</x:f>
        <x:v>46311</x:v>
      </x:c>
      <x:c r="D57" s="2" t="str">
        <x:f>IF(A57="","",UPPER(TRIM('Source'!C51&amp;"")))</x:f>
        <x:v>LOGISTICS</x:v>
      </x:c>
      <x:c r="E57" s="15" t="n">
        <x:f>IF(OR(A57="",ISBLANK('Source'!D51)),"",'Source'!D51)</x:f>
        <x:v>1.5</x:v>
      </x:c>
      <x:c r="F57" s="15" t="n">
        <x:f>IF(OR(A57="",ISBLANK('Source'!E51)),"",'Source'!E51)</x:f>
        <x:v>17</x:v>
      </x:c>
      <x:c r="G57" s="15" t="n">
        <x:f>IF(OR(A57="",ISBLANK('Source'!F51)),"",'Source'!F51)</x:f>
        <x:v>48</x:v>
      </x:c>
      <x:c r="H57" s="2" t="n">
        <x:f>IF(A57="","",COUNTIFS($B$8:$B$213,B57))</x:f>
        <x:v>1</x:v>
      </x:c>
      <x:c r="I57" s="11" t="str">
        <x:f>IF(A57="","",IF(B57="","Missing ID; ","")&amp;IF(AND(B57&lt;&gt;"",H57&gt;1),"Duplicate ID; ","")&amp;IF(ISNUMBER(C57),IF(OR(C57&lt;'Report'!$C$5,C57&gt;'Report'!$F$5),"Outside reporting period; ",""),"Invalid date; ")&amp;IF(COUNTIFS('Guide'!$B$24:$B$26,D57)=0,"Unknown team; ","")&amp;IF(ISNUMBER(E57),IF(E57&lt;0,"Negative effort; ",""),"Missing/non-numeric effort; ")&amp;IF(ISNUMBER(F57),IF(F57&lt;0,"Negative resolution; ",""),"Missing/non-numeric resolution; ")&amp;IF(ISNUMBER(G57),IF(G57&lt;=0,"Invalid SLA target; ",""),"Missing/non-numeric SLA target; "))</x:f>
      </x:c>
      <x:c r="J57" s="2" t="str">
        <x:f>IF(A57="","",IF(I57="","Included","Review"))</x:f>
        <x:v>Included</x:v>
      </x:c>
      <x:c r="K57" s="2" t="n">
        <x:f>IF(J57="Included",IF(F57&lt;=G57,1,0),"")</x:f>
        <x:v>1</x:v>
      </x:c>
      <x:c r="L57" s="13" t="n">
        <x:f>IF(J57="Included",C57-WEEKDAY(C57,2)+1,"")</x:f>
        <x:v>46307</x:v>
      </x:c>
      <x:c r="M57" s="15" t="n">
        <x:f>IF(J57="Included",E57,0)</x:f>
        <x:v>1.5</x:v>
      </x:c>
      <x:c r="N57" s="15" t="n">
        <x:f>IF(J57="Included",F57,0)</x:f>
        <x:v>17</x:v>
      </x:c>
    </x:row>
    <x:row r="58" ht="32" customHeight="1">
      <x:c r="A58" s="2" t="n">
        <x:f>IF(COUNTA('Source'!A52:F52)=0,"",52)</x:f>
        <x:v>52</x:v>
      </x:c>
      <x:c r="B58" s="2" t="str">
        <x:f>IF(A58="","",UPPER(TRIM('Source'!A52&amp;"")))</x:f>
        <x:v>TU-0051</x:v>
      </x:c>
      <x:c r="C58" s="13" t="n">
        <x:f>IF(OR(A58="",ISBLANK('Source'!B52)),"",'Source'!B52)</x:f>
        <x:v>46307</x:v>
      </x:c>
      <x:c r="D58" s="2" t="str">
        <x:f>IF(A58="","",UPPER(TRIM('Source'!C52&amp;"")))</x:f>
        <x:v>FIELD</x:v>
      </x:c>
      <x:c r="E58" s="15" t="n">
        <x:f>IF(OR(A58="",ISBLANK('Source'!D52)),"",'Source'!D52)</x:f>
        <x:v>1.75</x:v>
      </x:c>
      <x:c r="F58" s="15" t="n">
        <x:f>IF(OR(A58="",ISBLANK('Source'!E52)),"",'Source'!E52)</x:f>
        <x:v>24</x:v>
      </x:c>
      <x:c r="G58" s="15" t="n">
        <x:f>IF(OR(A58="",ISBLANK('Source'!F52)),"",'Source'!F52)</x:f>
        <x:v>48</x:v>
      </x:c>
      <x:c r="H58" s="2" t="n">
        <x:f>IF(A58="","",COUNTIFS($B$8:$B$213,B58))</x:f>
        <x:v>1</x:v>
      </x:c>
      <x:c r="I58" s="11" t="str">
        <x:f>IF(A58="","",IF(B58="","Missing ID; ","")&amp;IF(AND(B58&lt;&gt;"",H58&gt;1),"Duplicate ID; ","")&amp;IF(ISNUMBER(C58),IF(OR(C58&lt;'Report'!$C$5,C58&gt;'Report'!$F$5),"Outside reporting period; ",""),"Invalid date; ")&amp;IF(COUNTIFS('Guide'!$B$24:$B$26,D58)=0,"Unknown team; ","")&amp;IF(ISNUMBER(E58),IF(E58&lt;0,"Negative effort; ",""),"Missing/non-numeric effort; ")&amp;IF(ISNUMBER(F58),IF(F58&lt;0,"Negative resolution; ",""),"Missing/non-numeric resolution; ")&amp;IF(ISNUMBER(G58),IF(G58&lt;=0,"Invalid SLA target; ",""),"Missing/non-numeric SLA target; "))</x:f>
      </x:c>
      <x:c r="J58" s="2" t="str">
        <x:f>IF(A58="","",IF(I58="","Included","Review"))</x:f>
        <x:v>Included</x:v>
      </x:c>
      <x:c r="K58" s="2" t="n">
        <x:f>IF(J58="Included",IF(F58&lt;=G58,1,0),"")</x:f>
        <x:v>1</x:v>
      </x:c>
      <x:c r="L58" s="13" t="n">
        <x:f>IF(J58="Included",C58-WEEKDAY(C58,2)+1,"")</x:f>
        <x:v>46307</x:v>
      </x:c>
      <x:c r="M58" s="15" t="n">
        <x:f>IF(J58="Included",E58,0)</x:f>
        <x:v>1.75</x:v>
      </x:c>
      <x:c r="N58" s="15" t="n">
        <x:f>IF(J58="Included",F58,0)</x:f>
        <x:v>24</x:v>
      </x:c>
    </x:row>
    <x:row r="59" ht="32" customHeight="1">
      <x:c r="A59" s="2" t="n">
        <x:f>IF(COUNTA('Source'!A53:F53)=0,"",53)</x:f>
        <x:v>53</x:v>
      </x:c>
      <x:c r="B59" s="2" t="str">
        <x:f>IF(A59="","",UPPER(TRIM('Source'!A53&amp;"")))</x:f>
        <x:v>TU-0052</x:v>
      </x:c>
      <x:c r="C59" s="13" t="n">
        <x:f>IF(OR(A59="",ISBLANK('Source'!B53)),"",'Source'!B53)</x:f>
        <x:v>46308</x:v>
      </x:c>
      <x:c r="D59" s="2" t="str">
        <x:f>IF(A59="","",UPPER(TRIM('Source'!C53&amp;"")))</x:f>
        <x:v>SUPPORT</x:v>
      </x:c>
      <x:c r="E59" s="15" t="n">
        <x:f>IF(OR(A59="",ISBLANK('Source'!D53)),"",'Source'!D53)</x:f>
        <x:v>2</x:v>
      </x:c>
      <x:c r="F59" s="15" t="n">
        <x:f>IF(OR(A59="",ISBLANK('Source'!E53)),"",'Source'!E53)</x:f>
        <x:v>31</x:v>
      </x:c>
      <x:c r="G59" s="15" t="n">
        <x:f>IF(OR(A59="",ISBLANK('Source'!F53)),"",'Source'!F53)</x:f>
        <x:v>24</x:v>
      </x:c>
      <x:c r="H59" s="2" t="n">
        <x:f>IF(A59="","",COUNTIFS($B$8:$B$213,B59))</x:f>
        <x:v>1</x:v>
      </x:c>
      <x:c r="I59" s="11" t="str">
        <x:f>IF(A59="","",IF(B59="","Missing ID; ","")&amp;IF(AND(B59&lt;&gt;"",H59&gt;1),"Duplicate ID; ","")&amp;IF(ISNUMBER(C59),IF(OR(C59&lt;'Report'!$C$5,C59&gt;'Report'!$F$5),"Outside reporting period; ",""),"Invalid date; ")&amp;IF(COUNTIFS('Guide'!$B$24:$B$26,D59)=0,"Unknown team; ","")&amp;IF(ISNUMBER(E59),IF(E59&lt;0,"Negative effort; ",""),"Missing/non-numeric effort; ")&amp;IF(ISNUMBER(F59),IF(F59&lt;0,"Negative resolution; ",""),"Missing/non-numeric resolution; ")&amp;IF(ISNUMBER(G59),IF(G59&lt;=0,"Invalid SLA target; ",""),"Missing/non-numeric SLA target; "))</x:f>
      </x:c>
      <x:c r="J59" s="2" t="str">
        <x:f>IF(A59="","",IF(I59="","Included","Review"))</x:f>
        <x:v>Included</x:v>
      </x:c>
      <x:c r="K59" s="2" t="n">
        <x:f>IF(J59="Included",IF(F59&lt;=G59,1,0),"")</x:f>
        <x:v>0</x:v>
      </x:c>
      <x:c r="L59" s="13" t="n">
        <x:f>IF(J59="Included",C59-WEEKDAY(C59,2)+1,"")</x:f>
        <x:v>46307</x:v>
      </x:c>
      <x:c r="M59" s="15" t="n">
        <x:f>IF(J59="Included",E59,0)</x:f>
        <x:v>2</x:v>
      </x:c>
      <x:c r="N59" s="15" t="n">
        <x:f>IF(J59="Included",F59,0)</x:f>
        <x:v>31</x:v>
      </x:c>
    </x:row>
    <x:row r="60" ht="32" customHeight="1">
      <x:c r="A60" s="2" t="n">
        <x:f>IF(COUNTA('Source'!A54:F54)=0,"",54)</x:f>
        <x:v>54</x:v>
      </x:c>
      <x:c r="B60" s="2" t="str">
        <x:f>IF(A60="","",UPPER(TRIM('Source'!A54&amp;"")))</x:f>
        <x:v>TU-0053</x:v>
      </x:c>
      <x:c r="C60" s="13" t="n">
        <x:f>IF(OR(A60="",ISBLANK('Source'!B54)),"",'Source'!B54)</x:f>
        <x:v>46309</x:v>
      </x:c>
      <x:c r="D60" s="2" t="str">
        <x:f>IF(A60="","",UPPER(TRIM('Source'!C54&amp;"")))</x:f>
        <x:v>LOGISTICS</x:v>
      </x:c>
      <x:c r="E60" s="15" t="n">
        <x:f>IF(OR(A60="",ISBLANK('Source'!D54)),"",'Source'!D54)</x:f>
        <x:v>2.25</x:v>
      </x:c>
      <x:c r="F60" s="15" t="n">
        <x:f>IF(OR(A60="",ISBLANK('Source'!E54)),"",'Source'!E54)</x:f>
        <x:v>38</x:v>
      </x:c>
      <x:c r="G60" s="15" t="n">
        <x:f>IF(OR(A60="",ISBLANK('Source'!F54)),"",'Source'!F54)</x:f>
        <x:v>48</x:v>
      </x:c>
      <x:c r="H60" s="2" t="n">
        <x:f>IF(A60="","",COUNTIFS($B$8:$B$213,B60))</x:f>
        <x:v>1</x:v>
      </x:c>
      <x:c r="I60" s="11" t="str">
        <x:f>IF(A60="","",IF(B60="","Missing ID; ","")&amp;IF(AND(B60&lt;&gt;"",H60&gt;1),"Duplicate ID; ","")&amp;IF(ISNUMBER(C60),IF(OR(C60&lt;'Report'!$C$5,C60&gt;'Report'!$F$5),"Outside reporting period; ",""),"Invalid date; ")&amp;IF(COUNTIFS('Guide'!$B$24:$B$26,D60)=0,"Unknown team; ","")&amp;IF(ISNUMBER(E60),IF(E60&lt;0,"Negative effort; ",""),"Missing/non-numeric effort; ")&amp;IF(ISNUMBER(F60),IF(F60&lt;0,"Negative resolution; ",""),"Missing/non-numeric resolution; ")&amp;IF(ISNUMBER(G60),IF(G60&lt;=0,"Invalid SLA target; ",""),"Missing/non-numeric SLA target; "))</x:f>
      </x:c>
      <x:c r="J60" s="2" t="str">
        <x:f>IF(A60="","",IF(I60="","Included","Review"))</x:f>
        <x:v>Included</x:v>
      </x:c>
      <x:c r="K60" s="2" t="n">
        <x:f>IF(J60="Included",IF(F60&lt;=G60,1,0),"")</x:f>
        <x:v>1</x:v>
      </x:c>
      <x:c r="L60" s="13" t="n">
        <x:f>IF(J60="Included",C60-WEEKDAY(C60,2)+1,"")</x:f>
        <x:v>46307</x:v>
      </x:c>
      <x:c r="M60" s="15" t="n">
        <x:f>IF(J60="Included",E60,0)</x:f>
        <x:v>2.25</x:v>
      </x:c>
      <x:c r="N60" s="15" t="n">
        <x:f>IF(J60="Included",F60,0)</x:f>
        <x:v>38</x:v>
      </x:c>
    </x:row>
    <x:row r="61" ht="32" customHeight="1">
      <x:c r="A61" s="2" t="n">
        <x:f>IF(COUNTA('Source'!A55:F55)=0,"",55)</x:f>
        <x:v>55</x:v>
      </x:c>
      <x:c r="B61" s="2" t="str">
        <x:f>IF(A61="","",UPPER(TRIM('Source'!A55&amp;"")))</x:f>
        <x:v>TU-0054</x:v>
      </x:c>
      <x:c r="C61" s="13" t="n">
        <x:f>IF(OR(A61="",ISBLANK('Source'!B55)),"",'Source'!B55)</x:f>
        <x:v>46310</x:v>
      </x:c>
      <x:c r="D61" s="2" t="str">
        <x:f>IF(A61="","",UPPER(TRIM('Source'!C55&amp;"")))</x:f>
        <x:v>FIELD</x:v>
      </x:c>
      <x:c r="E61" s="15" t="n">
        <x:f>IF(OR(A61="",ISBLANK('Source'!D55)),"",'Source'!D55)</x:f>
        <x:v>2.5</x:v>
      </x:c>
      <x:c r="F61" s="15" t="n">
        <x:f>IF(OR(A61="",ISBLANK('Source'!E55)),"",'Source'!E55)</x:f>
        <x:v>4</x:v>
      </x:c>
      <x:c r="G61" s="15" t="n">
        <x:f>IF(OR(A61="",ISBLANK('Source'!F55)),"",'Source'!F55)</x:f>
        <x:v>48</x:v>
      </x:c>
      <x:c r="H61" s="2" t="n">
        <x:f>IF(A61="","",COUNTIFS($B$8:$B$213,B61))</x:f>
        <x:v>1</x:v>
      </x:c>
      <x:c r="I61" s="11" t="str">
        <x:f>IF(A61="","",IF(B61="","Missing ID; ","")&amp;IF(AND(B61&lt;&gt;"",H61&gt;1),"Duplicate ID; ","")&amp;IF(ISNUMBER(C61),IF(OR(C61&lt;'Report'!$C$5,C61&gt;'Report'!$F$5),"Outside reporting period; ",""),"Invalid date; ")&amp;IF(COUNTIFS('Guide'!$B$24:$B$26,D61)=0,"Unknown team; ","")&amp;IF(ISNUMBER(E61),IF(E61&lt;0,"Negative effort; ",""),"Missing/non-numeric effort; ")&amp;IF(ISNUMBER(F61),IF(F61&lt;0,"Negative resolution; ",""),"Missing/non-numeric resolution; ")&amp;IF(ISNUMBER(G61),IF(G61&lt;=0,"Invalid SLA target; ",""),"Missing/non-numeric SLA target; "))</x:f>
      </x:c>
      <x:c r="J61" s="2" t="str">
        <x:f>IF(A61="","",IF(I61="","Included","Review"))</x:f>
        <x:v>Included</x:v>
      </x:c>
      <x:c r="K61" s="2" t="n">
        <x:f>IF(J61="Included",IF(F61&lt;=G61,1,0),"")</x:f>
        <x:v>1</x:v>
      </x:c>
      <x:c r="L61" s="13" t="n">
        <x:f>IF(J61="Included",C61-WEEKDAY(C61,2)+1,"")</x:f>
        <x:v>46307</x:v>
      </x:c>
      <x:c r="M61" s="15" t="n">
        <x:f>IF(J61="Included",E61,0)</x:f>
        <x:v>2.5</x:v>
      </x:c>
      <x:c r="N61" s="15" t="n">
        <x:f>IF(J61="Included",F61,0)</x:f>
        <x:v>4</x:v>
      </x:c>
    </x:row>
    <x:row r="62" ht="32" customHeight="1">
      <x:c r="A62" s="2" t="n">
        <x:f>IF(COUNTA('Source'!A56:F56)=0,"",56)</x:f>
        <x:v>56</x:v>
      </x:c>
      <x:c r="B62" s="2" t="str">
        <x:f>IF(A62="","",UPPER(TRIM('Source'!A56&amp;"")))</x:f>
        <x:v>TU-0055</x:v>
      </x:c>
      <x:c r="C62" s="13" t="n">
        <x:f>IF(OR(A62="",ISBLANK('Source'!B56)),"",'Source'!B56)</x:f>
        <x:v>46311</x:v>
      </x:c>
      <x:c r="D62" s="2" t="str">
        <x:f>IF(A62="","",UPPER(TRIM('Source'!C56&amp;"")))</x:f>
        <x:v>SUPPORT</x:v>
      </x:c>
      <x:c r="E62" s="15" t="n">
        <x:f>IF(OR(A62="",ISBLANK('Source'!D56)),"",'Source'!D56)</x:f>
        <x:v>0.5</x:v>
      </x:c>
      <x:c r="F62" s="15" t="n">
        <x:f>IF(OR(A62="",ISBLANK('Source'!E56)),"",'Source'!E56)</x:f>
        <x:v>11</x:v>
      </x:c>
      <x:c r="G62" s="15" t="n">
        <x:f>IF(OR(A62="",ISBLANK('Source'!F56)),"",'Source'!F56)</x:f>
        <x:v>24</x:v>
      </x:c>
      <x:c r="H62" s="2" t="n">
        <x:f>IF(A62="","",COUNTIFS($B$8:$B$213,B62))</x:f>
        <x:v>1</x:v>
      </x:c>
      <x:c r="I62" s="11" t="str">
        <x:f>IF(A62="","",IF(B62="","Missing ID; ","")&amp;IF(AND(B62&lt;&gt;"",H62&gt;1),"Duplicate ID; ","")&amp;IF(ISNUMBER(C62),IF(OR(C62&lt;'Report'!$C$5,C62&gt;'Report'!$F$5),"Outside reporting period; ",""),"Invalid date; ")&amp;IF(COUNTIFS('Guide'!$B$24:$B$26,D62)=0,"Unknown team; ","")&amp;IF(ISNUMBER(E62),IF(E62&lt;0,"Negative effort; ",""),"Missing/non-numeric effort; ")&amp;IF(ISNUMBER(F62),IF(F62&lt;0,"Negative resolution; ",""),"Missing/non-numeric resolution; ")&amp;IF(ISNUMBER(G62),IF(G62&lt;=0,"Invalid SLA target; ",""),"Missing/non-numeric SLA target; "))</x:f>
      </x:c>
      <x:c r="J62" s="2" t="str">
        <x:f>IF(A62="","",IF(I62="","Included","Review"))</x:f>
        <x:v>Included</x:v>
      </x:c>
      <x:c r="K62" s="2" t="n">
        <x:f>IF(J62="Included",IF(F62&lt;=G62,1,0),"")</x:f>
        <x:v>1</x:v>
      </x:c>
      <x:c r="L62" s="13" t="n">
        <x:f>IF(J62="Included",C62-WEEKDAY(C62,2)+1,"")</x:f>
        <x:v>46307</x:v>
      </x:c>
      <x:c r="M62" s="15" t="n">
        <x:f>IF(J62="Included",E62,0)</x:f>
        <x:v>0.5</x:v>
      </x:c>
      <x:c r="N62" s="15" t="n">
        <x:f>IF(J62="Included",F62,0)</x:f>
        <x:v>11</x:v>
      </x:c>
    </x:row>
    <x:row r="63" ht="32" customHeight="1">
      <x:c r="A63" s="2" t="n">
        <x:f>IF(COUNTA('Source'!A57:F57)=0,"",57)</x:f>
        <x:v>57</x:v>
      </x:c>
      <x:c r="B63" s="2" t="str">
        <x:f>IF(A63="","",UPPER(TRIM('Source'!A57&amp;"")))</x:f>
        <x:v>TU-0056</x:v>
      </x:c>
      <x:c r="C63" s="13" t="n">
        <x:f>IF(OR(A63="",ISBLANK('Source'!B57)),"",'Source'!B57)</x:f>
        <x:v>46307</x:v>
      </x:c>
      <x:c r="D63" s="2" t="str">
        <x:f>IF(A63="","",UPPER(TRIM('Source'!C57&amp;"")))</x:f>
        <x:v>LOGISTICS</x:v>
      </x:c>
      <x:c r="E63" s="15" t="n">
        <x:f>IF(OR(A63="",ISBLANK('Source'!D57)),"",'Source'!D57)</x:f>
        <x:v>0.75</x:v>
      </x:c>
      <x:c r="F63" s="15" t="n">
        <x:f>IF(OR(A63="",ISBLANK('Source'!E57)),"",'Source'!E57)</x:f>
        <x:v>18</x:v>
      </x:c>
      <x:c r="G63" s="15" t="n">
        <x:f>IF(OR(A63="",ISBLANK('Source'!F57)),"",'Source'!F57)</x:f>
        <x:v>48</x:v>
      </x:c>
      <x:c r="H63" s="2" t="n">
        <x:f>IF(A63="","",COUNTIFS($B$8:$B$213,B63))</x:f>
        <x:v>1</x:v>
      </x:c>
      <x:c r="I63" s="11" t="str">
        <x:f>IF(A63="","",IF(B63="","Missing ID; ","")&amp;IF(AND(B63&lt;&gt;"",H63&gt;1),"Duplicate ID; ","")&amp;IF(ISNUMBER(C63),IF(OR(C63&lt;'Report'!$C$5,C63&gt;'Report'!$F$5),"Outside reporting period; ",""),"Invalid date; ")&amp;IF(COUNTIFS('Guide'!$B$24:$B$26,D63)=0,"Unknown team; ","")&amp;IF(ISNUMBER(E63),IF(E63&lt;0,"Negative effort; ",""),"Missing/non-numeric effort; ")&amp;IF(ISNUMBER(F63),IF(F63&lt;0,"Negative resolution; ",""),"Missing/non-numeric resolution; ")&amp;IF(ISNUMBER(G63),IF(G63&lt;=0,"Invalid SLA target; ",""),"Missing/non-numeric SLA target; "))</x:f>
      </x:c>
      <x:c r="J63" s="2" t="str">
        <x:f>IF(A63="","",IF(I63="","Included","Review"))</x:f>
        <x:v>Included</x:v>
      </x:c>
      <x:c r="K63" s="2" t="n">
        <x:f>IF(J63="Included",IF(F63&lt;=G63,1,0),"")</x:f>
        <x:v>1</x:v>
      </x:c>
      <x:c r="L63" s="13" t="n">
        <x:f>IF(J63="Included",C63-WEEKDAY(C63,2)+1,"")</x:f>
        <x:v>46307</x:v>
      </x:c>
      <x:c r="M63" s="15" t="n">
        <x:f>IF(J63="Included",E63,0)</x:f>
        <x:v>0.75</x:v>
      </x:c>
      <x:c r="N63" s="15" t="n">
        <x:f>IF(J63="Included",F63,0)</x:f>
        <x:v>18</x:v>
      </x:c>
    </x:row>
    <x:row r="64" ht="32" customHeight="1">
      <x:c r="A64" s="2" t="n">
        <x:f>IF(COUNTA('Source'!A58:F58)=0,"",58)</x:f>
        <x:v>58</x:v>
      </x:c>
      <x:c r="B64" s="2" t="str">
        <x:f>IF(A64="","",UPPER(TRIM('Source'!A58&amp;"")))</x:f>
        <x:v>TU-0057</x:v>
      </x:c>
      <x:c r="C64" s="13" t="n">
        <x:f>IF(OR(A64="",ISBLANK('Source'!B58)),"",'Source'!B58)</x:f>
        <x:v>46308</x:v>
      </x:c>
      <x:c r="D64" s="2" t="str">
        <x:f>IF(A64="","",UPPER(TRIM('Source'!C58&amp;"")))</x:f>
        <x:v>FIELD</x:v>
      </x:c>
      <x:c r="E64" s="15" t="n">
        <x:f>IF(OR(A64="",ISBLANK('Source'!D58)),"",'Source'!D58)</x:f>
        <x:v>1</x:v>
      </x:c>
      <x:c r="F64" s="15" t="n">
        <x:f>IF(OR(A64="",ISBLANK('Source'!E58)),"",'Source'!E58)</x:f>
        <x:v>25</x:v>
      </x:c>
      <x:c r="G64" s="15" t="n">
        <x:f>IF(OR(A64="",ISBLANK('Source'!F58)),"",'Source'!F58)</x:f>
        <x:v>48</x:v>
      </x:c>
      <x:c r="H64" s="2" t="n">
        <x:f>IF(A64="","",COUNTIFS($B$8:$B$213,B64))</x:f>
        <x:v>1</x:v>
      </x:c>
      <x:c r="I64" s="11" t="str">
        <x:f>IF(A64="","",IF(B64="","Missing ID; ","")&amp;IF(AND(B64&lt;&gt;"",H64&gt;1),"Duplicate ID; ","")&amp;IF(ISNUMBER(C64),IF(OR(C64&lt;'Report'!$C$5,C64&gt;'Report'!$F$5),"Outside reporting period; ",""),"Invalid date; ")&amp;IF(COUNTIFS('Guide'!$B$24:$B$26,D64)=0,"Unknown team; ","")&amp;IF(ISNUMBER(E64),IF(E64&lt;0,"Negative effort; ",""),"Missing/non-numeric effort; ")&amp;IF(ISNUMBER(F64),IF(F64&lt;0,"Negative resolution; ",""),"Missing/non-numeric resolution; ")&amp;IF(ISNUMBER(G64),IF(G64&lt;=0,"Invalid SLA target; ",""),"Missing/non-numeric SLA target; "))</x:f>
      </x:c>
      <x:c r="J64" s="2" t="str">
        <x:f>IF(A64="","",IF(I64="","Included","Review"))</x:f>
        <x:v>Included</x:v>
      </x:c>
      <x:c r="K64" s="2" t="n">
        <x:f>IF(J64="Included",IF(F64&lt;=G64,1,0),"")</x:f>
        <x:v>1</x:v>
      </x:c>
      <x:c r="L64" s="13" t="n">
        <x:f>IF(J64="Included",C64-WEEKDAY(C64,2)+1,"")</x:f>
        <x:v>46307</x:v>
      </x:c>
      <x:c r="M64" s="15" t="n">
        <x:f>IF(J64="Included",E64,0)</x:f>
        <x:v>1</x:v>
      </x:c>
      <x:c r="N64" s="15" t="n">
        <x:f>IF(J64="Included",F64,0)</x:f>
        <x:v>25</x:v>
      </x:c>
    </x:row>
    <x:row r="65" ht="32" customHeight="1">
      <x:c r="A65" s="2" t="n">
        <x:f>IF(COUNTA('Source'!A59:F59)=0,"",59)</x:f>
        <x:v>59</x:v>
      </x:c>
      <x:c r="B65" s="2" t="str">
        <x:f>IF(A65="","",UPPER(TRIM('Source'!A59&amp;"")))</x:f>
        <x:v>TU-0058</x:v>
      </x:c>
      <x:c r="C65" s="13" t="n">
        <x:f>IF(OR(A65="",ISBLANK('Source'!B59)),"",'Source'!B59)</x:f>
        <x:v>46309</x:v>
      </x:c>
      <x:c r="D65" s="2" t="str">
        <x:f>IF(A65="","",UPPER(TRIM('Source'!C59&amp;"")))</x:f>
        <x:v>SUPPORT</x:v>
      </x:c>
      <x:c r="E65" s="15" t="n">
        <x:f>IF(OR(A65="",ISBLANK('Source'!D59)),"",'Source'!D59)</x:f>
        <x:v>1.25</x:v>
      </x:c>
      <x:c r="F65" s="15" t="n">
        <x:f>IF(OR(A65="",ISBLANK('Source'!E59)),"",'Source'!E59)</x:f>
        <x:v>32</x:v>
      </x:c>
      <x:c r="G65" s="15" t="n">
        <x:f>IF(OR(A65="",ISBLANK('Source'!F59)),"",'Source'!F59)</x:f>
        <x:v>24</x:v>
      </x:c>
      <x:c r="H65" s="2" t="n">
        <x:f>IF(A65="","",COUNTIFS($B$8:$B$213,B65))</x:f>
        <x:v>1</x:v>
      </x:c>
      <x:c r="I65" s="11" t="str">
        <x:f>IF(A65="","",IF(B65="","Missing ID; ","")&amp;IF(AND(B65&lt;&gt;"",H65&gt;1),"Duplicate ID; ","")&amp;IF(ISNUMBER(C65),IF(OR(C65&lt;'Report'!$C$5,C65&gt;'Report'!$F$5),"Outside reporting period; ",""),"Invalid date; ")&amp;IF(COUNTIFS('Guide'!$B$24:$B$26,D65)=0,"Unknown team; ","")&amp;IF(ISNUMBER(E65),IF(E65&lt;0,"Negative effort; ",""),"Missing/non-numeric effort; ")&amp;IF(ISNUMBER(F65),IF(F65&lt;0,"Negative resolution; ",""),"Missing/non-numeric resolution; ")&amp;IF(ISNUMBER(G65),IF(G65&lt;=0,"Invalid SLA target; ",""),"Missing/non-numeric SLA target; "))</x:f>
      </x:c>
      <x:c r="J65" s="2" t="str">
        <x:f>IF(A65="","",IF(I65="","Included","Review"))</x:f>
        <x:v>Included</x:v>
      </x:c>
      <x:c r="K65" s="2" t="n">
        <x:f>IF(J65="Included",IF(F65&lt;=G65,1,0),"")</x:f>
        <x:v>0</x:v>
      </x:c>
      <x:c r="L65" s="13" t="n">
        <x:f>IF(J65="Included",C65-WEEKDAY(C65,2)+1,"")</x:f>
        <x:v>46307</x:v>
      </x:c>
      <x:c r="M65" s="15" t="n">
        <x:f>IF(J65="Included",E65,0)</x:f>
        <x:v>1.25</x:v>
      </x:c>
      <x:c r="N65" s="15" t="n">
        <x:f>IF(J65="Included",F65,0)</x:f>
        <x:v>32</x:v>
      </x:c>
    </x:row>
    <x:row r="66" ht="32" customHeight="1">
      <x:c r="A66" s="2" t="n">
        <x:f>IF(COUNTA('Source'!A60:F60)=0,"",60)</x:f>
        <x:v>60</x:v>
      </x:c>
      <x:c r="B66" s="2" t="str">
        <x:f>IF(A66="","",UPPER(TRIM('Source'!A60&amp;"")))</x:f>
        <x:v>TU-0059</x:v>
      </x:c>
      <x:c r="C66" s="13" t="n">
        <x:f>IF(OR(A66="",ISBLANK('Source'!B60)),"",'Source'!B60)</x:f>
        <x:v>46310</x:v>
      </x:c>
      <x:c r="D66" s="2" t="str">
        <x:f>IF(A66="","",UPPER(TRIM('Source'!C60&amp;"")))</x:f>
        <x:v>LOGISTICS</x:v>
      </x:c>
      <x:c r="E66" s="15" t="n">
        <x:f>IF(OR(A66="",ISBLANK('Source'!D60)),"",'Source'!D60)</x:f>
        <x:v>1.5</x:v>
      </x:c>
      <x:c r="F66" s="15" t="n">
        <x:f>IF(OR(A66="",ISBLANK('Source'!E60)),"",'Source'!E60)</x:f>
        <x:v>39</x:v>
      </x:c>
      <x:c r="G66" s="15" t="n">
        <x:f>IF(OR(A66="",ISBLANK('Source'!F60)),"",'Source'!F60)</x:f>
        <x:v>48</x:v>
      </x:c>
      <x:c r="H66" s="2" t="n">
        <x:f>IF(A66="","",COUNTIFS($B$8:$B$213,B66))</x:f>
        <x:v>1</x:v>
      </x:c>
      <x:c r="I66" s="11" t="str">
        <x:f>IF(A66="","",IF(B66="","Missing ID; ","")&amp;IF(AND(B66&lt;&gt;"",H66&gt;1),"Duplicate ID; ","")&amp;IF(ISNUMBER(C66),IF(OR(C66&lt;'Report'!$C$5,C66&gt;'Report'!$F$5),"Outside reporting period; ",""),"Invalid date; ")&amp;IF(COUNTIFS('Guide'!$B$24:$B$26,D66)=0,"Unknown team; ","")&amp;IF(ISNUMBER(E66),IF(E66&lt;0,"Negative effort; ",""),"Missing/non-numeric effort; ")&amp;IF(ISNUMBER(F66),IF(F66&lt;0,"Negative resolution; ",""),"Missing/non-numeric resolution; ")&amp;IF(ISNUMBER(G66),IF(G66&lt;=0,"Invalid SLA target; ",""),"Missing/non-numeric SLA target; "))</x:f>
      </x:c>
      <x:c r="J66" s="2" t="str">
        <x:f>IF(A66="","",IF(I66="","Included","Review"))</x:f>
        <x:v>Included</x:v>
      </x:c>
      <x:c r="K66" s="2" t="n">
        <x:f>IF(J66="Included",IF(F66&lt;=G66,1,0),"")</x:f>
        <x:v>1</x:v>
      </x:c>
      <x:c r="L66" s="13" t="n">
        <x:f>IF(J66="Included",C66-WEEKDAY(C66,2)+1,"")</x:f>
        <x:v>46307</x:v>
      </x:c>
      <x:c r="M66" s="15" t="n">
        <x:f>IF(J66="Included",E66,0)</x:f>
        <x:v>1.5</x:v>
      </x:c>
      <x:c r="N66" s="15" t="n">
        <x:f>IF(J66="Included",F66,0)</x:f>
        <x:v>39</x:v>
      </x:c>
    </x:row>
    <x:row r="67" ht="32" customHeight="1">
      <x:c r="A67" s="2" t="n">
        <x:f>IF(COUNTA('Source'!A61:F61)=0,"",61)</x:f>
        <x:v>61</x:v>
      </x:c>
      <x:c r="B67" s="2" t="str">
        <x:f>IF(A67="","",UPPER(TRIM('Source'!A61&amp;"")))</x:f>
        <x:v>TU-0060</x:v>
      </x:c>
      <x:c r="C67" s="13" t="n">
        <x:f>IF(OR(A67="",ISBLANK('Source'!B61)),"",'Source'!B61)</x:f>
        <x:v>46311</x:v>
      </x:c>
      <x:c r="D67" s="2" t="str">
        <x:f>IF(A67="","",UPPER(TRIM('Source'!C61&amp;"")))</x:f>
        <x:v>FIELD</x:v>
      </x:c>
      <x:c r="E67" s="15" t="n">
        <x:f>IF(OR(A67="",ISBLANK('Source'!D61)),"",'Source'!D61)</x:f>
        <x:v>1.75</x:v>
      </x:c>
      <x:c r="F67" s="15" t="n">
        <x:f>IF(OR(A67="",ISBLANK('Source'!E61)),"",'Source'!E61)</x:f>
        <x:v>5</x:v>
      </x:c>
      <x:c r="G67" s="15" t="n">
        <x:f>IF(OR(A67="",ISBLANK('Source'!F61)),"",'Source'!F61)</x:f>
        <x:v>48</x:v>
      </x:c>
      <x:c r="H67" s="2" t="n">
        <x:f>IF(A67="","",COUNTIFS($B$8:$B$213,B67))</x:f>
        <x:v>1</x:v>
      </x:c>
      <x:c r="I67" s="11" t="str">
        <x:f>IF(A67="","",IF(B67="","Missing ID; ","")&amp;IF(AND(B67&lt;&gt;"",H67&gt;1),"Duplicate ID; ","")&amp;IF(ISNUMBER(C67),IF(OR(C67&lt;'Report'!$C$5,C67&gt;'Report'!$F$5),"Outside reporting period; ",""),"Invalid date; ")&amp;IF(COUNTIFS('Guide'!$B$24:$B$26,D67)=0,"Unknown team; ","")&amp;IF(ISNUMBER(E67),IF(E67&lt;0,"Negative effort; ",""),"Missing/non-numeric effort; ")&amp;IF(ISNUMBER(F67),IF(F67&lt;0,"Negative resolution; ",""),"Missing/non-numeric resolution; ")&amp;IF(ISNUMBER(G67),IF(G67&lt;=0,"Invalid SLA target; ",""),"Missing/non-numeric SLA target; "))</x:f>
      </x:c>
      <x:c r="J67" s="2" t="str">
        <x:f>IF(A67="","",IF(I67="","Included","Review"))</x:f>
        <x:v>Included</x:v>
      </x:c>
      <x:c r="K67" s="2" t="n">
        <x:f>IF(J67="Included",IF(F67&lt;=G67,1,0),"")</x:f>
        <x:v>1</x:v>
      </x:c>
      <x:c r="L67" s="13" t="n">
        <x:f>IF(J67="Included",C67-WEEKDAY(C67,2)+1,"")</x:f>
        <x:v>46307</x:v>
      </x:c>
      <x:c r="M67" s="15" t="n">
        <x:f>IF(J67="Included",E67,0)</x:f>
        <x:v>1.75</x:v>
      </x:c>
      <x:c r="N67" s="15" t="n">
        <x:f>IF(J67="Included",F67,0)</x:f>
        <x:v>5</x:v>
      </x:c>
    </x:row>
    <x:row r="68" ht="32" customHeight="1">
      <x:c r="A68" s="2" t="n">
        <x:f>IF(COUNTA('Source'!A62:F62)=0,"",62)</x:f>
        <x:v>62</x:v>
      </x:c>
      <x:c r="B68" s="2" t="str">
        <x:f>IF(A68="","",UPPER(TRIM('Source'!A62&amp;"")))</x:f>
        <x:v>TU-0061</x:v>
      </x:c>
      <x:c r="C68" s="13" t="n">
        <x:f>IF(OR(A68="",ISBLANK('Source'!B62)),"",'Source'!B62)</x:f>
        <x:v>46307</x:v>
      </x:c>
      <x:c r="D68" s="2" t="str">
        <x:f>IF(A68="","",UPPER(TRIM('Source'!C62&amp;"")))</x:f>
        <x:v>SUPPORT</x:v>
      </x:c>
      <x:c r="E68" s="15" t="n">
        <x:f>IF(OR(A68="",ISBLANK('Source'!D62)),"",'Source'!D62)</x:f>
        <x:v>2</x:v>
      </x:c>
      <x:c r="F68" s="15" t="n">
        <x:f>IF(OR(A68="",ISBLANK('Source'!E62)),"",'Source'!E62)</x:f>
        <x:v>12</x:v>
      </x:c>
      <x:c r="G68" s="15" t="n">
        <x:f>IF(OR(A68="",ISBLANK('Source'!F62)),"",'Source'!F62)</x:f>
        <x:v>24</x:v>
      </x:c>
      <x:c r="H68" s="2" t="n">
        <x:f>IF(A68="","",COUNTIFS($B$8:$B$213,B68))</x:f>
        <x:v>1</x:v>
      </x:c>
      <x:c r="I68" s="11" t="str">
        <x:f>IF(A68="","",IF(B68="","Missing ID; ","")&amp;IF(AND(B68&lt;&gt;"",H68&gt;1),"Duplicate ID; ","")&amp;IF(ISNUMBER(C68),IF(OR(C68&lt;'Report'!$C$5,C68&gt;'Report'!$F$5),"Outside reporting period; ",""),"Invalid date; ")&amp;IF(COUNTIFS('Guide'!$B$24:$B$26,D68)=0,"Unknown team; ","")&amp;IF(ISNUMBER(E68),IF(E68&lt;0,"Negative effort; ",""),"Missing/non-numeric effort; ")&amp;IF(ISNUMBER(F68),IF(F68&lt;0,"Negative resolution; ",""),"Missing/non-numeric resolution; ")&amp;IF(ISNUMBER(G68),IF(G68&lt;=0,"Invalid SLA target; ",""),"Missing/non-numeric SLA target; "))</x:f>
      </x:c>
      <x:c r="J68" s="2" t="str">
        <x:f>IF(A68="","",IF(I68="","Included","Review"))</x:f>
        <x:v>Included</x:v>
      </x:c>
      <x:c r="K68" s="2" t="n">
        <x:f>IF(J68="Included",IF(F68&lt;=G68,1,0),"")</x:f>
        <x:v>1</x:v>
      </x:c>
      <x:c r="L68" s="13" t="n">
        <x:f>IF(J68="Included",C68-WEEKDAY(C68,2)+1,"")</x:f>
        <x:v>46307</x:v>
      </x:c>
      <x:c r="M68" s="15" t="n">
        <x:f>IF(J68="Included",E68,0)</x:f>
        <x:v>2</x:v>
      </x:c>
      <x:c r="N68" s="15" t="n">
        <x:f>IF(J68="Included",F68,0)</x:f>
        <x:v>12</x:v>
      </x:c>
    </x:row>
    <x:row r="69" ht="32" customHeight="1">
      <x:c r="A69" s="2" t="n">
        <x:f>IF(COUNTA('Source'!A63:F63)=0,"",63)</x:f>
        <x:v>63</x:v>
      </x:c>
      <x:c r="B69" s="2" t="str">
        <x:f>IF(A69="","",UPPER(TRIM('Source'!A63&amp;"")))</x:f>
        <x:v>TU-0062</x:v>
      </x:c>
      <x:c r="C69" s="13" t="n">
        <x:f>IF(OR(A69="",ISBLANK('Source'!B63)),"",'Source'!B63)</x:f>
        <x:v>46308</x:v>
      </x:c>
      <x:c r="D69" s="2" t="str">
        <x:f>IF(A69="","",UPPER(TRIM('Source'!C63&amp;"")))</x:f>
        <x:v>LOGISTICS</x:v>
      </x:c>
      <x:c r="E69" s="15" t="n">
        <x:f>IF(OR(A69="",ISBLANK('Source'!D63)),"",'Source'!D63)</x:f>
        <x:v>2.25</x:v>
      </x:c>
      <x:c r="F69" s="15" t="n">
        <x:f>IF(OR(A69="",ISBLANK('Source'!E63)),"",'Source'!E63)</x:f>
        <x:v>19</x:v>
      </x:c>
      <x:c r="G69" s="15" t="n">
        <x:f>IF(OR(A69="",ISBLANK('Source'!F63)),"",'Source'!F63)</x:f>
        <x:v>48</x:v>
      </x:c>
      <x:c r="H69" s="2" t="n">
        <x:f>IF(A69="","",COUNTIFS($B$8:$B$213,B69))</x:f>
        <x:v>1</x:v>
      </x:c>
      <x:c r="I69" s="11" t="str">
        <x:f>IF(A69="","",IF(B69="","Missing ID; ","")&amp;IF(AND(B69&lt;&gt;"",H69&gt;1),"Duplicate ID; ","")&amp;IF(ISNUMBER(C69),IF(OR(C69&lt;'Report'!$C$5,C69&gt;'Report'!$F$5),"Outside reporting period; ",""),"Invalid date; ")&amp;IF(COUNTIFS('Guide'!$B$24:$B$26,D69)=0,"Unknown team; ","")&amp;IF(ISNUMBER(E69),IF(E69&lt;0,"Negative effort; ",""),"Missing/non-numeric effort; ")&amp;IF(ISNUMBER(F69),IF(F69&lt;0,"Negative resolution; ",""),"Missing/non-numeric resolution; ")&amp;IF(ISNUMBER(G69),IF(G69&lt;=0,"Invalid SLA target; ",""),"Missing/non-numeric SLA target; "))</x:f>
      </x:c>
      <x:c r="J69" s="2" t="str">
        <x:f>IF(A69="","",IF(I69="","Included","Review"))</x:f>
        <x:v>Included</x:v>
      </x:c>
      <x:c r="K69" s="2" t="n">
        <x:f>IF(J69="Included",IF(F69&lt;=G69,1,0),"")</x:f>
        <x:v>1</x:v>
      </x:c>
      <x:c r="L69" s="13" t="n">
        <x:f>IF(J69="Included",C69-WEEKDAY(C69,2)+1,"")</x:f>
        <x:v>46307</x:v>
      </x:c>
      <x:c r="M69" s="15" t="n">
        <x:f>IF(J69="Included",E69,0)</x:f>
        <x:v>2.25</x:v>
      </x:c>
      <x:c r="N69" s="15" t="n">
        <x:f>IF(J69="Included",F69,0)</x:f>
        <x:v>19</x:v>
      </x:c>
    </x:row>
    <x:row r="70" ht="32" customHeight="1">
      <x:c r="A70" s="2" t="n">
        <x:f>IF(COUNTA('Source'!A64:F64)=0,"",64)</x:f>
        <x:v>64</x:v>
      </x:c>
      <x:c r="B70" s="2" t="str">
        <x:f>IF(A70="","",UPPER(TRIM('Source'!A64&amp;"")))</x:f>
        <x:v>TU-0063</x:v>
      </x:c>
      <x:c r="C70" s="13" t="n">
        <x:f>IF(OR(A70="",ISBLANK('Source'!B64)),"",'Source'!B64)</x:f>
        <x:v>46309</x:v>
      </x:c>
      <x:c r="D70" s="2" t="str">
        <x:f>IF(A70="","",UPPER(TRIM('Source'!C64&amp;"")))</x:f>
        <x:v>FIELD</x:v>
      </x:c>
      <x:c r="E70" s="15" t="n">
        <x:f>IF(OR(A70="",ISBLANK('Source'!D64)),"",'Source'!D64)</x:f>
        <x:v>2.5</x:v>
      </x:c>
      <x:c r="F70" s="15" t="n">
        <x:f>IF(OR(A70="",ISBLANK('Source'!E64)),"",'Source'!E64)</x:f>
        <x:v>26</x:v>
      </x:c>
      <x:c r="G70" s="15" t="n">
        <x:f>IF(OR(A70="",ISBLANK('Source'!F64)),"",'Source'!F64)</x:f>
        <x:v>48</x:v>
      </x:c>
      <x:c r="H70" s="2" t="n">
        <x:f>IF(A70="","",COUNTIFS($B$8:$B$213,B70))</x:f>
        <x:v>1</x:v>
      </x:c>
      <x:c r="I70" s="11" t="str">
        <x:f>IF(A70="","",IF(B70="","Missing ID; ","")&amp;IF(AND(B70&lt;&gt;"",H70&gt;1),"Duplicate ID; ","")&amp;IF(ISNUMBER(C70),IF(OR(C70&lt;'Report'!$C$5,C70&gt;'Report'!$F$5),"Outside reporting period; ",""),"Invalid date; ")&amp;IF(COUNTIFS('Guide'!$B$24:$B$26,D70)=0,"Unknown team; ","")&amp;IF(ISNUMBER(E70),IF(E70&lt;0,"Negative effort; ",""),"Missing/non-numeric effort; ")&amp;IF(ISNUMBER(F70),IF(F70&lt;0,"Negative resolution; ",""),"Missing/non-numeric resolution; ")&amp;IF(ISNUMBER(G70),IF(G70&lt;=0,"Invalid SLA target; ",""),"Missing/non-numeric SLA target; "))</x:f>
      </x:c>
      <x:c r="J70" s="2" t="str">
        <x:f>IF(A70="","",IF(I70="","Included","Review"))</x:f>
        <x:v>Included</x:v>
      </x:c>
      <x:c r="K70" s="2" t="n">
        <x:f>IF(J70="Included",IF(F70&lt;=G70,1,0),"")</x:f>
        <x:v>1</x:v>
      </x:c>
      <x:c r="L70" s="13" t="n">
        <x:f>IF(J70="Included",C70-WEEKDAY(C70,2)+1,"")</x:f>
        <x:v>46307</x:v>
      </x:c>
      <x:c r="M70" s="15" t="n">
        <x:f>IF(J70="Included",E70,0)</x:f>
        <x:v>2.5</x:v>
      </x:c>
      <x:c r="N70" s="15" t="n">
        <x:f>IF(J70="Included",F70,0)</x:f>
        <x:v>26</x:v>
      </x:c>
    </x:row>
    <x:row r="71" ht="32" customHeight="1">
      <x:c r="A71" s="2" t="n">
        <x:f>IF(COUNTA('Source'!A65:F65)=0,"",65)</x:f>
        <x:v>65</x:v>
      </x:c>
      <x:c r="B71" s="2" t="str">
        <x:f>IF(A71="","",UPPER(TRIM('Source'!A65&amp;"")))</x:f>
        <x:v>TU-0064</x:v>
      </x:c>
      <x:c r="C71" s="13" t="n">
        <x:f>IF(OR(A71="",ISBLANK('Source'!B65)),"",'Source'!B65)</x:f>
        <x:v>46310</x:v>
      </x:c>
      <x:c r="D71" s="2" t="str">
        <x:f>IF(A71="","",UPPER(TRIM('Source'!C65&amp;"")))</x:f>
        <x:v>SUPPORT</x:v>
      </x:c>
      <x:c r="E71" s="15" t="n">
        <x:f>IF(OR(A71="",ISBLANK('Source'!D65)),"",'Source'!D65)</x:f>
        <x:v>0.5</x:v>
      </x:c>
      <x:c r="F71" s="15" t="n">
        <x:f>IF(OR(A71="",ISBLANK('Source'!E65)),"",'Source'!E65)</x:f>
        <x:v>33</x:v>
      </x:c>
      <x:c r="G71" s="15" t="n">
        <x:f>IF(OR(A71="",ISBLANK('Source'!F65)),"",'Source'!F65)</x:f>
        <x:v>24</x:v>
      </x:c>
      <x:c r="H71" s="2" t="n">
        <x:f>IF(A71="","",COUNTIFS($B$8:$B$213,B71))</x:f>
        <x:v>1</x:v>
      </x:c>
      <x:c r="I71" s="11" t="str">
        <x:f>IF(A71="","",IF(B71="","Missing ID; ","")&amp;IF(AND(B71&lt;&gt;"",H71&gt;1),"Duplicate ID; ","")&amp;IF(ISNUMBER(C71),IF(OR(C71&lt;'Report'!$C$5,C71&gt;'Report'!$F$5),"Outside reporting period; ",""),"Invalid date; ")&amp;IF(COUNTIFS('Guide'!$B$24:$B$26,D71)=0,"Unknown team; ","")&amp;IF(ISNUMBER(E71),IF(E71&lt;0,"Negative effort; ",""),"Missing/non-numeric effort; ")&amp;IF(ISNUMBER(F71),IF(F71&lt;0,"Negative resolution; ",""),"Missing/non-numeric resolution; ")&amp;IF(ISNUMBER(G71),IF(G71&lt;=0,"Invalid SLA target; ",""),"Missing/non-numeric SLA target; "))</x:f>
      </x:c>
      <x:c r="J71" s="2" t="str">
        <x:f>IF(A71="","",IF(I71="","Included","Review"))</x:f>
        <x:v>Included</x:v>
      </x:c>
      <x:c r="K71" s="2" t="n">
        <x:f>IF(J71="Included",IF(F71&lt;=G71,1,0),"")</x:f>
        <x:v>0</x:v>
      </x:c>
      <x:c r="L71" s="13" t="n">
        <x:f>IF(J71="Included",C71-WEEKDAY(C71,2)+1,"")</x:f>
        <x:v>46307</x:v>
      </x:c>
      <x:c r="M71" s="15" t="n">
        <x:f>IF(J71="Included",E71,0)</x:f>
        <x:v>0.5</x:v>
      </x:c>
      <x:c r="N71" s="15" t="n">
        <x:f>IF(J71="Included",F71,0)</x:f>
        <x:v>33</x:v>
      </x:c>
    </x:row>
    <x:row r="72" ht="32" customHeight="1">
      <x:c r="A72" s="2" t="n">
        <x:f>IF(COUNTA('Source'!A66:F66)=0,"",66)</x:f>
        <x:v>66</x:v>
      </x:c>
      <x:c r="B72" s="2" t="str">
        <x:f>IF(A72="","",UPPER(TRIM('Source'!A66&amp;"")))</x:f>
        <x:v>TU-0065</x:v>
      </x:c>
      <x:c r="C72" s="13" t="n">
        <x:f>IF(OR(A72="",ISBLANK('Source'!B66)),"",'Source'!B66)</x:f>
        <x:v>46311</x:v>
      </x:c>
      <x:c r="D72" s="2" t="str">
        <x:f>IF(A72="","",UPPER(TRIM('Source'!C66&amp;"")))</x:f>
        <x:v>LOGISTICS</x:v>
      </x:c>
      <x:c r="E72" s="15" t="n">
        <x:f>IF(OR(A72="",ISBLANK('Source'!D66)),"",'Source'!D66)</x:f>
        <x:v>0.75</x:v>
      </x:c>
      <x:c r="F72" s="15" t="n">
        <x:f>IF(OR(A72="",ISBLANK('Source'!E66)),"",'Source'!E66)</x:f>
        <x:v>40</x:v>
      </x:c>
      <x:c r="G72" s="15" t="n">
        <x:f>IF(OR(A72="",ISBLANK('Source'!F66)),"",'Source'!F66)</x:f>
        <x:v>48</x:v>
      </x:c>
      <x:c r="H72" s="2" t="n">
        <x:f>IF(A72="","",COUNTIFS($B$8:$B$213,B72))</x:f>
        <x:v>1</x:v>
      </x:c>
      <x:c r="I72" s="11" t="str">
        <x:f>IF(A72="","",IF(B72="","Missing ID; ","")&amp;IF(AND(B72&lt;&gt;"",H72&gt;1),"Duplicate ID; ","")&amp;IF(ISNUMBER(C72),IF(OR(C72&lt;'Report'!$C$5,C72&gt;'Report'!$F$5),"Outside reporting period; ",""),"Invalid date; ")&amp;IF(COUNTIFS('Guide'!$B$24:$B$26,D72)=0,"Unknown team; ","")&amp;IF(ISNUMBER(E72),IF(E72&lt;0,"Negative effort; ",""),"Missing/non-numeric effort; ")&amp;IF(ISNUMBER(F72),IF(F72&lt;0,"Negative resolution; ",""),"Missing/non-numeric resolution; ")&amp;IF(ISNUMBER(G72),IF(G72&lt;=0,"Invalid SLA target; ",""),"Missing/non-numeric SLA target; "))</x:f>
      </x:c>
      <x:c r="J72" s="2" t="str">
        <x:f>IF(A72="","",IF(I72="","Included","Review"))</x:f>
        <x:v>Included</x:v>
      </x:c>
      <x:c r="K72" s="2" t="n">
        <x:f>IF(J72="Included",IF(F72&lt;=G72,1,0),"")</x:f>
        <x:v>1</x:v>
      </x:c>
      <x:c r="L72" s="13" t="n">
        <x:f>IF(J72="Included",C72-WEEKDAY(C72,2)+1,"")</x:f>
        <x:v>46307</x:v>
      </x:c>
      <x:c r="M72" s="15" t="n">
        <x:f>IF(J72="Included",E72,0)</x:f>
        <x:v>0.75</x:v>
      </x:c>
      <x:c r="N72" s="15" t="n">
        <x:f>IF(J72="Included",F72,0)</x:f>
        <x:v>40</x:v>
      </x:c>
    </x:row>
    <x:row r="73" ht="32" customHeight="1">
      <x:c r="A73" s="2" t="n">
        <x:f>IF(COUNTA('Source'!A67:F67)=0,"",67)</x:f>
        <x:v>67</x:v>
      </x:c>
      <x:c r="B73" s="2" t="str">
        <x:f>IF(A73="","",UPPER(TRIM('Source'!A67&amp;"")))</x:f>
        <x:v>TU-0066</x:v>
      </x:c>
      <x:c r="C73" s="13" t="n">
        <x:f>IF(OR(A73="",ISBLANK('Source'!B67)),"",'Source'!B67)</x:f>
        <x:v>46307</x:v>
      </x:c>
      <x:c r="D73" s="2" t="str">
        <x:f>IF(A73="","",UPPER(TRIM('Source'!C67&amp;"")))</x:f>
        <x:v>FIELD</x:v>
      </x:c>
      <x:c r="E73" s="15" t="n">
        <x:f>IF(OR(A73="",ISBLANK('Source'!D67)),"",'Source'!D67)</x:f>
        <x:v>1</x:v>
      </x:c>
      <x:c r="F73" s="15" t="n">
        <x:f>IF(OR(A73="",ISBLANK('Source'!E67)),"",'Source'!E67)</x:f>
        <x:v>6</x:v>
      </x:c>
      <x:c r="G73" s="15" t="n">
        <x:f>IF(OR(A73="",ISBLANK('Source'!F67)),"",'Source'!F67)</x:f>
        <x:v>48</x:v>
      </x:c>
      <x:c r="H73" s="2" t="n">
        <x:f>IF(A73="","",COUNTIFS($B$8:$B$213,B73))</x:f>
        <x:v>1</x:v>
      </x:c>
      <x:c r="I73" s="11" t="str">
        <x:f>IF(A73="","",IF(B73="","Missing ID; ","")&amp;IF(AND(B73&lt;&gt;"",H73&gt;1),"Duplicate ID; ","")&amp;IF(ISNUMBER(C73),IF(OR(C73&lt;'Report'!$C$5,C73&gt;'Report'!$F$5),"Outside reporting period; ",""),"Invalid date; ")&amp;IF(COUNTIFS('Guide'!$B$24:$B$26,D73)=0,"Unknown team; ","")&amp;IF(ISNUMBER(E73),IF(E73&lt;0,"Negative effort; ",""),"Missing/non-numeric effort; ")&amp;IF(ISNUMBER(F73),IF(F73&lt;0,"Negative resolution; ",""),"Missing/non-numeric resolution; ")&amp;IF(ISNUMBER(G73),IF(G73&lt;=0,"Invalid SLA target; ",""),"Missing/non-numeric SLA target; "))</x:f>
      </x:c>
      <x:c r="J73" s="2" t="str">
        <x:f>IF(A73="","",IF(I73="","Included","Review"))</x:f>
        <x:v>Included</x:v>
      </x:c>
      <x:c r="K73" s="2" t="n">
        <x:f>IF(J73="Included",IF(F73&lt;=G73,1,0),"")</x:f>
        <x:v>1</x:v>
      </x:c>
      <x:c r="L73" s="13" t="n">
        <x:f>IF(J73="Included",C73-WEEKDAY(C73,2)+1,"")</x:f>
        <x:v>46307</x:v>
      </x:c>
      <x:c r="M73" s="15" t="n">
        <x:f>IF(J73="Included",E73,0)</x:f>
        <x:v>1</x:v>
      </x:c>
      <x:c r="N73" s="15" t="n">
        <x:f>IF(J73="Included",F73,0)</x:f>
        <x:v>6</x:v>
      </x:c>
    </x:row>
    <x:row r="74" ht="32" customHeight="1">
      <x:c r="A74" s="2" t="n">
        <x:f>IF(COUNTA('Source'!A68:F68)=0,"",68)</x:f>
        <x:v>68</x:v>
      </x:c>
      <x:c r="B74" s="2" t="str">
        <x:f>IF(A74="","",UPPER(TRIM('Source'!A68&amp;"")))</x:f>
        <x:v>TU-0067</x:v>
      </x:c>
      <x:c r="C74" s="13" t="n">
        <x:f>IF(OR(A74="",ISBLANK('Source'!B68)),"",'Source'!B68)</x:f>
        <x:v>46308</x:v>
      </x:c>
      <x:c r="D74" s="2" t="str">
        <x:f>IF(A74="","",UPPER(TRIM('Source'!C68&amp;"")))</x:f>
        <x:v>SUPPORT</x:v>
      </x:c>
      <x:c r="E74" s="15" t="n">
        <x:f>IF(OR(A74="",ISBLANK('Source'!D68)),"",'Source'!D68)</x:f>
        <x:v>1.25</x:v>
      </x:c>
      <x:c r="F74" s="15" t="n">
        <x:f>IF(OR(A74="",ISBLANK('Source'!E68)),"",'Source'!E68)</x:f>
        <x:v>13</x:v>
      </x:c>
      <x:c r="G74" s="15" t="n">
        <x:f>IF(OR(A74="",ISBLANK('Source'!F68)),"",'Source'!F68)</x:f>
        <x:v>24</x:v>
      </x:c>
      <x:c r="H74" s="2" t="n">
        <x:f>IF(A74="","",COUNTIFS($B$8:$B$213,B74))</x:f>
        <x:v>1</x:v>
      </x:c>
      <x:c r="I74" s="11" t="str">
        <x:f>IF(A74="","",IF(B74="","Missing ID; ","")&amp;IF(AND(B74&lt;&gt;"",H74&gt;1),"Duplicate ID; ","")&amp;IF(ISNUMBER(C74),IF(OR(C74&lt;'Report'!$C$5,C74&gt;'Report'!$F$5),"Outside reporting period; ",""),"Invalid date; ")&amp;IF(COUNTIFS('Guide'!$B$24:$B$26,D74)=0,"Unknown team; ","")&amp;IF(ISNUMBER(E74),IF(E74&lt;0,"Negative effort; ",""),"Missing/non-numeric effort; ")&amp;IF(ISNUMBER(F74),IF(F74&lt;0,"Negative resolution; ",""),"Missing/non-numeric resolution; ")&amp;IF(ISNUMBER(G74),IF(G74&lt;=0,"Invalid SLA target; ",""),"Missing/non-numeric SLA target; "))</x:f>
      </x:c>
      <x:c r="J74" s="2" t="str">
        <x:f>IF(A74="","",IF(I74="","Included","Review"))</x:f>
        <x:v>Included</x:v>
      </x:c>
      <x:c r="K74" s="2" t="n">
        <x:f>IF(J74="Included",IF(F74&lt;=G74,1,0),"")</x:f>
        <x:v>1</x:v>
      </x:c>
      <x:c r="L74" s="13" t="n">
        <x:f>IF(J74="Included",C74-WEEKDAY(C74,2)+1,"")</x:f>
        <x:v>46307</x:v>
      </x:c>
      <x:c r="M74" s="15" t="n">
        <x:f>IF(J74="Included",E74,0)</x:f>
        <x:v>1.25</x:v>
      </x:c>
      <x:c r="N74" s="15" t="n">
        <x:f>IF(J74="Included",F74,0)</x:f>
        <x:v>13</x:v>
      </x:c>
    </x:row>
    <x:row r="75" ht="32" customHeight="1">
      <x:c r="A75" s="2" t="n">
        <x:f>IF(COUNTA('Source'!A69:F69)=0,"",69)</x:f>
        <x:v>69</x:v>
      </x:c>
      <x:c r="B75" s="2" t="str">
        <x:f>IF(A75="","",UPPER(TRIM('Source'!A69&amp;"")))</x:f>
        <x:v>TU-0068</x:v>
      </x:c>
      <x:c r="C75" s="13" t="n">
        <x:f>IF(OR(A75="",ISBLANK('Source'!B69)),"",'Source'!B69)</x:f>
        <x:v>46309</x:v>
      </x:c>
      <x:c r="D75" s="2" t="str">
        <x:f>IF(A75="","",UPPER(TRIM('Source'!C69&amp;"")))</x:f>
        <x:v>LOGISTICS</x:v>
      </x:c>
      <x:c r="E75" s="15" t="n">
        <x:f>IF(OR(A75="",ISBLANK('Source'!D69)),"",'Source'!D69)</x:f>
        <x:v>1.5</x:v>
      </x:c>
      <x:c r="F75" s="15" t="n">
        <x:f>IF(OR(A75="",ISBLANK('Source'!E69)),"",'Source'!E69)</x:f>
        <x:v>20</x:v>
      </x:c>
      <x:c r="G75" s="15" t="n">
        <x:f>IF(OR(A75="",ISBLANK('Source'!F69)),"",'Source'!F69)</x:f>
        <x:v>48</x:v>
      </x:c>
      <x:c r="H75" s="2" t="n">
        <x:f>IF(A75="","",COUNTIFS($B$8:$B$213,B75))</x:f>
        <x:v>1</x:v>
      </x:c>
      <x:c r="I75" s="11" t="str">
        <x:f>IF(A75="","",IF(B75="","Missing ID; ","")&amp;IF(AND(B75&lt;&gt;"",H75&gt;1),"Duplicate ID; ","")&amp;IF(ISNUMBER(C75),IF(OR(C75&lt;'Report'!$C$5,C75&gt;'Report'!$F$5),"Outside reporting period; ",""),"Invalid date; ")&amp;IF(COUNTIFS('Guide'!$B$24:$B$26,D75)=0,"Unknown team; ","")&amp;IF(ISNUMBER(E75),IF(E75&lt;0,"Negative effort; ",""),"Missing/non-numeric effort; ")&amp;IF(ISNUMBER(F75),IF(F75&lt;0,"Negative resolution; ",""),"Missing/non-numeric resolution; ")&amp;IF(ISNUMBER(G75),IF(G75&lt;=0,"Invalid SLA target; ",""),"Missing/non-numeric SLA target; "))</x:f>
      </x:c>
      <x:c r="J75" s="2" t="str">
        <x:f>IF(A75="","",IF(I75="","Included","Review"))</x:f>
        <x:v>Included</x:v>
      </x:c>
      <x:c r="K75" s="2" t="n">
        <x:f>IF(J75="Included",IF(F75&lt;=G75,1,0),"")</x:f>
        <x:v>1</x:v>
      </x:c>
      <x:c r="L75" s="13" t="n">
        <x:f>IF(J75="Included",C75-WEEKDAY(C75,2)+1,"")</x:f>
        <x:v>46307</x:v>
      </x:c>
      <x:c r="M75" s="15" t="n">
        <x:f>IF(J75="Included",E75,0)</x:f>
        <x:v>1.5</x:v>
      </x:c>
      <x:c r="N75" s="15" t="n">
        <x:f>IF(J75="Included",F75,0)</x:f>
        <x:v>20</x:v>
      </x:c>
    </x:row>
    <x:row r="76" ht="32" customHeight="1">
      <x:c r="A76" s="2" t="n">
        <x:f>IF(COUNTA('Source'!A70:F70)=0,"",70)</x:f>
        <x:v>70</x:v>
      </x:c>
      <x:c r="B76" s="2" t="str">
        <x:f>IF(A76="","",UPPER(TRIM('Source'!A70&amp;"")))</x:f>
        <x:v>TU-0069</x:v>
      </x:c>
      <x:c r="C76" s="13" t="n">
        <x:f>IF(OR(A76="",ISBLANK('Source'!B70)),"",'Source'!B70)</x:f>
        <x:v>46310</x:v>
      </x:c>
      <x:c r="D76" s="2" t="str">
        <x:f>IF(A76="","",UPPER(TRIM('Source'!C70&amp;"")))</x:f>
        <x:v>FIELD</x:v>
      </x:c>
      <x:c r="E76" s="15" t="n">
        <x:f>IF(OR(A76="",ISBLANK('Source'!D70)),"",'Source'!D70)</x:f>
        <x:v>1.75</x:v>
      </x:c>
      <x:c r="F76" s="15" t="n">
        <x:f>IF(OR(A76="",ISBLANK('Source'!E70)),"",'Source'!E70)</x:f>
        <x:v>27</x:v>
      </x:c>
      <x:c r="G76" s="15" t="n">
        <x:f>IF(OR(A76="",ISBLANK('Source'!F70)),"",'Source'!F70)</x:f>
        <x:v>48</x:v>
      </x:c>
      <x:c r="H76" s="2" t="n">
        <x:f>IF(A76="","",COUNTIFS($B$8:$B$213,B76))</x:f>
        <x:v>1</x:v>
      </x:c>
      <x:c r="I76" s="11" t="str">
        <x:f>IF(A76="","",IF(B76="","Missing ID; ","")&amp;IF(AND(B76&lt;&gt;"",H76&gt;1),"Duplicate ID; ","")&amp;IF(ISNUMBER(C76),IF(OR(C76&lt;'Report'!$C$5,C76&gt;'Report'!$F$5),"Outside reporting period; ",""),"Invalid date; ")&amp;IF(COUNTIFS('Guide'!$B$24:$B$26,D76)=0,"Unknown team; ","")&amp;IF(ISNUMBER(E76),IF(E76&lt;0,"Negative effort; ",""),"Missing/non-numeric effort; ")&amp;IF(ISNUMBER(F76),IF(F76&lt;0,"Negative resolution; ",""),"Missing/non-numeric resolution; ")&amp;IF(ISNUMBER(G76),IF(G76&lt;=0,"Invalid SLA target; ",""),"Missing/non-numeric SLA target; "))</x:f>
      </x:c>
      <x:c r="J76" s="2" t="str">
        <x:f>IF(A76="","",IF(I76="","Included","Review"))</x:f>
        <x:v>Included</x:v>
      </x:c>
      <x:c r="K76" s="2" t="n">
        <x:f>IF(J76="Included",IF(F76&lt;=G76,1,0),"")</x:f>
        <x:v>1</x:v>
      </x:c>
      <x:c r="L76" s="13" t="n">
        <x:f>IF(J76="Included",C76-WEEKDAY(C76,2)+1,"")</x:f>
        <x:v>46307</x:v>
      </x:c>
      <x:c r="M76" s="15" t="n">
        <x:f>IF(J76="Included",E76,0)</x:f>
        <x:v>1.75</x:v>
      </x:c>
      <x:c r="N76" s="15" t="n">
        <x:f>IF(J76="Included",F76,0)</x:f>
        <x:v>27</x:v>
      </x:c>
    </x:row>
    <x:row r="77" ht="32" customHeight="1">
      <x:c r="A77" s="2" t="n">
        <x:f>IF(COUNTA('Source'!A71:F71)=0,"",71)</x:f>
        <x:v>71</x:v>
      </x:c>
      <x:c r="B77" s="2" t="str">
        <x:f>IF(A77="","",UPPER(TRIM('Source'!A71&amp;"")))</x:f>
        <x:v>TU-0070</x:v>
      </x:c>
      <x:c r="C77" s="13" t="n">
        <x:f>IF(OR(A77="",ISBLANK('Source'!B71)),"",'Source'!B71)</x:f>
        <x:v>46311</x:v>
      </x:c>
      <x:c r="D77" s="2" t="str">
        <x:f>IF(A77="","",UPPER(TRIM('Source'!C71&amp;"")))</x:f>
        <x:v>SUPPORT</x:v>
      </x:c>
      <x:c r="E77" s="15" t="n">
        <x:f>IF(OR(A77="",ISBLANK('Source'!D71)),"",'Source'!D71)</x:f>
        <x:v>2</x:v>
      </x:c>
      <x:c r="F77" s="15" t="n">
        <x:f>IF(OR(A77="",ISBLANK('Source'!E71)),"",'Source'!E71)</x:f>
        <x:v>34</x:v>
      </x:c>
      <x:c r="G77" s="15" t="n">
        <x:f>IF(OR(A77="",ISBLANK('Source'!F71)),"",'Source'!F71)</x:f>
        <x:v>24</x:v>
      </x:c>
      <x:c r="H77" s="2" t="n">
        <x:f>IF(A77="","",COUNTIFS($B$8:$B$213,B77))</x:f>
        <x:v>1</x:v>
      </x:c>
      <x:c r="I77" s="11" t="str">
        <x:f>IF(A77="","",IF(B77="","Missing ID; ","")&amp;IF(AND(B77&lt;&gt;"",H77&gt;1),"Duplicate ID; ","")&amp;IF(ISNUMBER(C77),IF(OR(C77&lt;'Report'!$C$5,C77&gt;'Report'!$F$5),"Outside reporting period; ",""),"Invalid date; ")&amp;IF(COUNTIFS('Guide'!$B$24:$B$26,D77)=0,"Unknown team; ","")&amp;IF(ISNUMBER(E77),IF(E77&lt;0,"Negative effort; ",""),"Missing/non-numeric effort; ")&amp;IF(ISNUMBER(F77),IF(F77&lt;0,"Negative resolution; ",""),"Missing/non-numeric resolution; ")&amp;IF(ISNUMBER(G77),IF(G77&lt;=0,"Invalid SLA target; ",""),"Missing/non-numeric SLA target; "))</x:f>
      </x:c>
      <x:c r="J77" s="2" t="str">
        <x:f>IF(A77="","",IF(I77="","Included","Review"))</x:f>
        <x:v>Included</x:v>
      </x:c>
      <x:c r="K77" s="2" t="n">
        <x:f>IF(J77="Included",IF(F77&lt;=G77,1,0),"")</x:f>
        <x:v>0</x:v>
      </x:c>
      <x:c r="L77" s="13" t="n">
        <x:f>IF(J77="Included",C77-WEEKDAY(C77,2)+1,"")</x:f>
        <x:v>46307</x:v>
      </x:c>
      <x:c r="M77" s="15" t="n">
        <x:f>IF(J77="Included",E77,0)</x:f>
        <x:v>2</x:v>
      </x:c>
      <x:c r="N77" s="15" t="n">
        <x:f>IF(J77="Included",F77,0)</x:f>
        <x:v>34</x:v>
      </x:c>
    </x:row>
    <x:row r="78" ht="32" customHeight="1">
      <x:c r="A78" s="2" t="n">
        <x:f>IF(COUNTA('Source'!A72:F72)=0,"",72)</x:f>
        <x:v>72</x:v>
      </x:c>
      <x:c r="B78" s="2" t="str">
        <x:f>IF(A78="","",UPPER(TRIM('Source'!A72&amp;"")))</x:f>
        <x:v>TU-0071</x:v>
      </x:c>
      <x:c r="C78" s="13" t="n">
        <x:f>IF(OR(A78="",ISBLANK('Source'!B72)),"",'Source'!B72)</x:f>
        <x:v>46307</x:v>
      </x:c>
      <x:c r="D78" s="2" t="str">
        <x:f>IF(A78="","",UPPER(TRIM('Source'!C72&amp;"")))</x:f>
        <x:v>LOGISTICS</x:v>
      </x:c>
      <x:c r="E78" s="15" t="n">
        <x:f>IF(OR(A78="",ISBLANK('Source'!D72)),"",'Source'!D72)</x:f>
        <x:v>2.25</x:v>
      </x:c>
      <x:c r="F78" s="15" t="n">
        <x:f>IF(OR(A78="",ISBLANK('Source'!E72)),"",'Source'!E72)</x:f>
        <x:v>41</x:v>
      </x:c>
      <x:c r="G78" s="15" t="n">
        <x:f>IF(OR(A78="",ISBLANK('Source'!F72)),"",'Source'!F72)</x:f>
        <x:v>48</x:v>
      </x:c>
      <x:c r="H78" s="2" t="n">
        <x:f>IF(A78="","",COUNTIFS($B$8:$B$213,B78))</x:f>
        <x:v>1</x:v>
      </x:c>
      <x:c r="I78" s="11" t="str">
        <x:f>IF(A78="","",IF(B78="","Missing ID; ","")&amp;IF(AND(B78&lt;&gt;"",H78&gt;1),"Duplicate ID; ","")&amp;IF(ISNUMBER(C78),IF(OR(C78&lt;'Report'!$C$5,C78&gt;'Report'!$F$5),"Outside reporting period; ",""),"Invalid date; ")&amp;IF(COUNTIFS('Guide'!$B$24:$B$26,D78)=0,"Unknown team; ","")&amp;IF(ISNUMBER(E78),IF(E78&lt;0,"Negative effort; ",""),"Missing/non-numeric effort; ")&amp;IF(ISNUMBER(F78),IF(F78&lt;0,"Negative resolution; ",""),"Missing/non-numeric resolution; ")&amp;IF(ISNUMBER(G78),IF(G78&lt;=0,"Invalid SLA target; ",""),"Missing/non-numeric SLA target; "))</x:f>
      </x:c>
      <x:c r="J78" s="2" t="str">
        <x:f>IF(A78="","",IF(I78="","Included","Review"))</x:f>
        <x:v>Included</x:v>
      </x:c>
      <x:c r="K78" s="2" t="n">
        <x:f>IF(J78="Included",IF(F78&lt;=G78,1,0),"")</x:f>
        <x:v>1</x:v>
      </x:c>
      <x:c r="L78" s="13" t="n">
        <x:f>IF(J78="Included",C78-WEEKDAY(C78,2)+1,"")</x:f>
        <x:v>46307</x:v>
      </x:c>
      <x:c r="M78" s="15" t="n">
        <x:f>IF(J78="Included",E78,0)</x:f>
        <x:v>2.25</x:v>
      </x:c>
      <x:c r="N78" s="15" t="n">
        <x:f>IF(J78="Included",F78,0)</x:f>
        <x:v>41</x:v>
      </x:c>
    </x:row>
    <x:row r="79" ht="32" customHeight="1">
      <x:c r="A79" s="2" t="n">
        <x:f>IF(COUNTA('Source'!A73:F73)=0,"",73)</x:f>
        <x:v>73</x:v>
      </x:c>
      <x:c r="B79" s="2" t="str">
        <x:f>IF(A79="","",UPPER(TRIM('Source'!A73&amp;"")))</x:f>
        <x:v>TU-0072</x:v>
      </x:c>
      <x:c r="C79" s="13" t="n">
        <x:f>IF(OR(A79="",ISBLANK('Source'!B73)),"",'Source'!B73)</x:f>
        <x:v>46308</x:v>
      </x:c>
      <x:c r="D79" s="2" t="str">
        <x:f>IF(A79="","",UPPER(TRIM('Source'!C73&amp;"")))</x:f>
        <x:v>FIELD</x:v>
      </x:c>
      <x:c r="E79" s="15" t="n">
        <x:f>IF(OR(A79="",ISBLANK('Source'!D73)),"",'Source'!D73)</x:f>
        <x:v>2.5</x:v>
      </x:c>
      <x:c r="F79" s="15" t="n">
        <x:f>IF(OR(A79="",ISBLANK('Source'!E73)),"",'Source'!E73)</x:f>
        <x:v>7</x:v>
      </x:c>
      <x:c r="G79" s="15" t="n">
        <x:f>IF(OR(A79="",ISBLANK('Source'!F73)),"",'Source'!F73)</x:f>
        <x:v>48</x:v>
      </x:c>
      <x:c r="H79" s="2" t="n">
        <x:f>IF(A79="","",COUNTIFS($B$8:$B$213,B79))</x:f>
        <x:v>1</x:v>
      </x:c>
      <x:c r="I79" s="11" t="str">
        <x:f>IF(A79="","",IF(B79="","Missing ID; ","")&amp;IF(AND(B79&lt;&gt;"",H79&gt;1),"Duplicate ID; ","")&amp;IF(ISNUMBER(C79),IF(OR(C79&lt;'Report'!$C$5,C79&gt;'Report'!$F$5),"Outside reporting period; ",""),"Invalid date; ")&amp;IF(COUNTIFS('Guide'!$B$24:$B$26,D79)=0,"Unknown team; ","")&amp;IF(ISNUMBER(E79),IF(E79&lt;0,"Negative effort; ",""),"Missing/non-numeric effort; ")&amp;IF(ISNUMBER(F79),IF(F79&lt;0,"Negative resolution; ",""),"Missing/non-numeric resolution; ")&amp;IF(ISNUMBER(G79),IF(G79&lt;=0,"Invalid SLA target; ",""),"Missing/non-numeric SLA target; "))</x:f>
      </x:c>
      <x:c r="J79" s="2" t="str">
        <x:f>IF(A79="","",IF(I79="","Included","Review"))</x:f>
        <x:v>Included</x:v>
      </x:c>
      <x:c r="K79" s="2" t="n">
        <x:f>IF(J79="Included",IF(F79&lt;=G79,1,0),"")</x:f>
        <x:v>1</x:v>
      </x:c>
      <x:c r="L79" s="13" t="n">
        <x:f>IF(J79="Included",C79-WEEKDAY(C79,2)+1,"")</x:f>
        <x:v>46307</x:v>
      </x:c>
      <x:c r="M79" s="15" t="n">
        <x:f>IF(J79="Included",E79,0)</x:f>
        <x:v>2.5</x:v>
      </x:c>
      <x:c r="N79" s="15" t="n">
        <x:f>IF(J79="Included",F79,0)</x:f>
        <x:v>7</x:v>
      </x:c>
    </x:row>
    <x:row r="80" ht="32" customHeight="1">
      <x:c r="A80" s="2" t="n">
        <x:f>IF(COUNTA('Source'!A74:F74)=0,"",74)</x:f>
        <x:v>74</x:v>
      </x:c>
      <x:c r="B80" s="2" t="str">
        <x:f>IF(A80="","",UPPER(TRIM('Source'!A74&amp;"")))</x:f>
        <x:v>TU-0073</x:v>
      </x:c>
      <x:c r="C80" s="13" t="n">
        <x:f>IF(OR(A80="",ISBLANK('Source'!B74)),"",'Source'!B74)</x:f>
        <x:v>46316</x:v>
      </x:c>
      <x:c r="D80" s="2" t="str">
        <x:f>IF(A80="","",UPPER(TRIM('Source'!C74&amp;"")))</x:f>
        <x:v>SUPPORT</x:v>
      </x:c>
      <x:c r="E80" s="15" t="n">
        <x:f>IF(OR(A80="",ISBLANK('Source'!D74)),"",'Source'!D74)</x:f>
        <x:v>0.5</x:v>
      </x:c>
      <x:c r="F80" s="15" t="n">
        <x:f>IF(OR(A80="",ISBLANK('Source'!E74)),"",'Source'!E74)</x:f>
        <x:v>14</x:v>
      </x:c>
      <x:c r="G80" s="15" t="n">
        <x:f>IF(OR(A80="",ISBLANK('Source'!F74)),"",'Source'!F74)</x:f>
        <x:v>24</x:v>
      </x:c>
      <x:c r="H80" s="2" t="n">
        <x:f>IF(A80="","",COUNTIFS($B$8:$B$213,B80))</x:f>
        <x:v>1</x:v>
      </x:c>
      <x:c r="I80" s="11" t="str">
        <x:f>IF(A80="","",IF(B80="","Missing ID; ","")&amp;IF(AND(B80&lt;&gt;"",H80&gt;1),"Duplicate ID; ","")&amp;IF(ISNUMBER(C80),IF(OR(C80&lt;'Report'!$C$5,C80&gt;'Report'!$F$5),"Outside reporting period; ",""),"Invalid date; ")&amp;IF(COUNTIFS('Guide'!$B$24:$B$26,D80)=0,"Unknown team; ","")&amp;IF(ISNUMBER(E80),IF(E80&lt;0,"Negative effort; ",""),"Missing/non-numeric effort; ")&amp;IF(ISNUMBER(F80),IF(F80&lt;0,"Negative resolution; ",""),"Missing/non-numeric resolution; ")&amp;IF(ISNUMBER(G80),IF(G80&lt;=0,"Invalid SLA target; ",""),"Missing/non-numeric SLA target; "))</x:f>
      </x:c>
      <x:c r="J80" s="2" t="str">
        <x:f>IF(A80="","",IF(I80="","Included","Review"))</x:f>
        <x:v>Included</x:v>
      </x:c>
      <x:c r="K80" s="2" t="n">
        <x:f>IF(J80="Included",IF(F80&lt;=G80,1,0),"")</x:f>
        <x:v>1</x:v>
      </x:c>
      <x:c r="L80" s="13" t="n">
        <x:f>IF(J80="Included",C80-WEEKDAY(C80,2)+1,"")</x:f>
        <x:v>46314</x:v>
      </x:c>
      <x:c r="M80" s="15" t="n">
        <x:f>IF(J80="Included",E80,0)</x:f>
        <x:v>0.5</x:v>
      </x:c>
      <x:c r="N80" s="15" t="n">
        <x:f>IF(J80="Included",F80,0)</x:f>
        <x:v>14</x:v>
      </x:c>
    </x:row>
    <x:row r="81" ht="32" customHeight="1">
      <x:c r="A81" s="2" t="n">
        <x:f>IF(COUNTA('Source'!A75:F75)=0,"",75)</x:f>
        <x:v>75</x:v>
      </x:c>
      <x:c r="B81" s="2" t="str">
        <x:f>IF(A81="","",UPPER(TRIM('Source'!A75&amp;"")))</x:f>
        <x:v>TU-0074</x:v>
      </x:c>
      <x:c r="C81" s="13" t="n">
        <x:f>IF(OR(A81="",ISBLANK('Source'!B75)),"",'Source'!B75)</x:f>
        <x:v>46317</x:v>
      </x:c>
      <x:c r="D81" s="2" t="str">
        <x:f>IF(A81="","",UPPER(TRIM('Source'!C75&amp;"")))</x:f>
        <x:v>LOGISTICS</x:v>
      </x:c>
      <x:c r="E81" s="15" t="n">
        <x:f>IF(OR(A81="",ISBLANK('Source'!D75)),"",'Source'!D75)</x:f>
        <x:v>0.75</x:v>
      </x:c>
      <x:c r="F81" s="15" t="n">
        <x:f>IF(OR(A81="",ISBLANK('Source'!E75)),"",'Source'!E75)</x:f>
        <x:v>21</x:v>
      </x:c>
      <x:c r="G81" s="15" t="n">
        <x:f>IF(OR(A81="",ISBLANK('Source'!F75)),"",'Source'!F75)</x:f>
        <x:v>48</x:v>
      </x:c>
      <x:c r="H81" s="2" t="n">
        <x:f>IF(A81="","",COUNTIFS($B$8:$B$213,B81))</x:f>
        <x:v>1</x:v>
      </x:c>
      <x:c r="I81" s="11" t="str">
        <x:f>IF(A81="","",IF(B81="","Missing ID; ","")&amp;IF(AND(B81&lt;&gt;"",H81&gt;1),"Duplicate ID; ","")&amp;IF(ISNUMBER(C81),IF(OR(C81&lt;'Report'!$C$5,C81&gt;'Report'!$F$5),"Outside reporting period; ",""),"Invalid date; ")&amp;IF(COUNTIFS('Guide'!$B$24:$B$26,D81)=0,"Unknown team; ","")&amp;IF(ISNUMBER(E81),IF(E81&lt;0,"Negative effort; ",""),"Missing/non-numeric effort; ")&amp;IF(ISNUMBER(F81),IF(F81&lt;0,"Negative resolution; ",""),"Missing/non-numeric resolution; ")&amp;IF(ISNUMBER(G81),IF(G81&lt;=0,"Invalid SLA target; ",""),"Missing/non-numeric SLA target; "))</x:f>
      </x:c>
      <x:c r="J81" s="2" t="str">
        <x:f>IF(A81="","",IF(I81="","Included","Review"))</x:f>
        <x:v>Included</x:v>
      </x:c>
      <x:c r="K81" s="2" t="n">
        <x:f>IF(J81="Included",IF(F81&lt;=G81,1,0),"")</x:f>
        <x:v>1</x:v>
      </x:c>
      <x:c r="L81" s="13" t="n">
        <x:f>IF(J81="Included",C81-WEEKDAY(C81,2)+1,"")</x:f>
        <x:v>46314</x:v>
      </x:c>
      <x:c r="M81" s="15" t="n">
        <x:f>IF(J81="Included",E81,0)</x:f>
        <x:v>0.75</x:v>
      </x:c>
      <x:c r="N81" s="15" t="n">
        <x:f>IF(J81="Included",F81,0)</x:f>
        <x:v>21</x:v>
      </x:c>
    </x:row>
    <x:row r="82" ht="32" customHeight="1">
      <x:c r="A82" s="2" t="n">
        <x:f>IF(COUNTA('Source'!A76:F76)=0,"",76)</x:f>
        <x:v>76</x:v>
      </x:c>
      <x:c r="B82" s="2" t="str">
        <x:f>IF(A82="","",UPPER(TRIM('Source'!A76&amp;"")))</x:f>
        <x:v>TU-0075</x:v>
      </x:c>
      <x:c r="C82" s="13" t="n">
        <x:f>IF(OR(A82="",ISBLANK('Source'!B76)),"",'Source'!B76)</x:f>
        <x:v>46318</x:v>
      </x:c>
      <x:c r="D82" s="2" t="str">
        <x:f>IF(A82="","",UPPER(TRIM('Source'!C76&amp;"")))</x:f>
        <x:v>FIELD</x:v>
      </x:c>
      <x:c r="E82" s="15" t="n">
        <x:f>IF(OR(A82="",ISBLANK('Source'!D76)),"",'Source'!D76)</x:f>
        <x:v>1</x:v>
      </x:c>
      <x:c r="F82" s="15" t="n">
        <x:f>IF(OR(A82="",ISBLANK('Source'!E76)),"",'Source'!E76)</x:f>
        <x:v>28</x:v>
      </x:c>
      <x:c r="G82" s="15" t="n">
        <x:f>IF(OR(A82="",ISBLANK('Source'!F76)),"",'Source'!F76)</x:f>
        <x:v>48</x:v>
      </x:c>
      <x:c r="H82" s="2" t="n">
        <x:f>IF(A82="","",COUNTIFS($B$8:$B$213,B82))</x:f>
        <x:v>1</x:v>
      </x:c>
      <x:c r="I82" s="11" t="str">
        <x:f>IF(A82="","",IF(B82="","Missing ID; ","")&amp;IF(AND(B82&lt;&gt;"",H82&gt;1),"Duplicate ID; ","")&amp;IF(ISNUMBER(C82),IF(OR(C82&lt;'Report'!$C$5,C82&gt;'Report'!$F$5),"Outside reporting period; ",""),"Invalid date; ")&amp;IF(COUNTIFS('Guide'!$B$24:$B$26,D82)=0,"Unknown team; ","")&amp;IF(ISNUMBER(E82),IF(E82&lt;0,"Negative effort; ",""),"Missing/non-numeric effort; ")&amp;IF(ISNUMBER(F82),IF(F82&lt;0,"Negative resolution; ",""),"Missing/non-numeric resolution; ")&amp;IF(ISNUMBER(G82),IF(G82&lt;=0,"Invalid SLA target; ",""),"Missing/non-numeric SLA target; "))</x:f>
      </x:c>
      <x:c r="J82" s="2" t="str">
        <x:f>IF(A82="","",IF(I82="","Included","Review"))</x:f>
        <x:v>Included</x:v>
      </x:c>
      <x:c r="K82" s="2" t="n">
        <x:f>IF(J82="Included",IF(F82&lt;=G82,1,0),"")</x:f>
        <x:v>1</x:v>
      </x:c>
      <x:c r="L82" s="13" t="n">
        <x:f>IF(J82="Included",C82-WEEKDAY(C82,2)+1,"")</x:f>
        <x:v>46314</x:v>
      </x:c>
      <x:c r="M82" s="15" t="n">
        <x:f>IF(J82="Included",E82,0)</x:f>
        <x:v>1</x:v>
      </x:c>
      <x:c r="N82" s="15" t="n">
        <x:f>IF(J82="Included",F82,0)</x:f>
        <x:v>28</x:v>
      </x:c>
    </x:row>
    <x:row r="83" ht="32" customHeight="1">
      <x:c r="A83" s="2" t="n">
        <x:f>IF(COUNTA('Source'!A77:F77)=0,"",77)</x:f>
        <x:v>77</x:v>
      </x:c>
      <x:c r="B83" s="2" t="str">
        <x:f>IF(A83="","",UPPER(TRIM('Source'!A77&amp;"")))</x:f>
        <x:v>TU-0076</x:v>
      </x:c>
      <x:c r="C83" s="13" t="n">
        <x:f>IF(OR(A83="",ISBLANK('Source'!B77)),"",'Source'!B77)</x:f>
        <x:v>46314</x:v>
      </x:c>
      <x:c r="D83" s="2" t="str">
        <x:f>IF(A83="","",UPPER(TRIM('Source'!C77&amp;"")))</x:f>
        <x:v>SUPPORT</x:v>
      </x:c>
      <x:c r="E83" s="15" t="n">
        <x:f>IF(OR(A83="",ISBLANK('Source'!D77)),"",'Source'!D77)</x:f>
        <x:v>1.25</x:v>
      </x:c>
      <x:c r="F83" s="15" t="n">
        <x:f>IF(OR(A83="",ISBLANK('Source'!E77)),"",'Source'!E77)</x:f>
        <x:v>35</x:v>
      </x:c>
      <x:c r="G83" s="15" t="n">
        <x:f>IF(OR(A83="",ISBLANK('Source'!F77)),"",'Source'!F77)</x:f>
        <x:v>24</x:v>
      </x:c>
      <x:c r="H83" s="2" t="n">
        <x:f>IF(A83="","",COUNTIFS($B$8:$B$213,B83))</x:f>
        <x:v>1</x:v>
      </x:c>
      <x:c r="I83" s="11" t="str">
        <x:f>IF(A83="","",IF(B83="","Missing ID; ","")&amp;IF(AND(B83&lt;&gt;"",H83&gt;1),"Duplicate ID; ","")&amp;IF(ISNUMBER(C83),IF(OR(C83&lt;'Report'!$C$5,C83&gt;'Report'!$F$5),"Outside reporting period; ",""),"Invalid date; ")&amp;IF(COUNTIFS('Guide'!$B$24:$B$26,D83)=0,"Unknown team; ","")&amp;IF(ISNUMBER(E83),IF(E83&lt;0,"Negative effort; ",""),"Missing/non-numeric effort; ")&amp;IF(ISNUMBER(F83),IF(F83&lt;0,"Negative resolution; ",""),"Missing/non-numeric resolution; ")&amp;IF(ISNUMBER(G83),IF(G83&lt;=0,"Invalid SLA target; ",""),"Missing/non-numeric SLA target; "))</x:f>
      </x:c>
      <x:c r="J83" s="2" t="str">
        <x:f>IF(A83="","",IF(I83="","Included","Review"))</x:f>
        <x:v>Included</x:v>
      </x:c>
      <x:c r="K83" s="2" t="n">
        <x:f>IF(J83="Included",IF(F83&lt;=G83,1,0),"")</x:f>
        <x:v>0</x:v>
      </x:c>
      <x:c r="L83" s="13" t="n">
        <x:f>IF(J83="Included",C83-WEEKDAY(C83,2)+1,"")</x:f>
        <x:v>46314</x:v>
      </x:c>
      <x:c r="M83" s="15" t="n">
        <x:f>IF(J83="Included",E83,0)</x:f>
        <x:v>1.25</x:v>
      </x:c>
      <x:c r="N83" s="15" t="n">
        <x:f>IF(J83="Included",F83,0)</x:f>
        <x:v>35</x:v>
      </x:c>
    </x:row>
    <x:row r="84" ht="32" customHeight="1">
      <x:c r="A84" s="2" t="n">
        <x:f>IF(COUNTA('Source'!A78:F78)=0,"",78)</x:f>
        <x:v>78</x:v>
      </x:c>
      <x:c r="B84" s="2" t="str">
        <x:f>IF(A84="","",UPPER(TRIM('Source'!A78&amp;"")))</x:f>
        <x:v>TU-0077</x:v>
      </x:c>
      <x:c r="C84" s="13" t="n">
        <x:f>IF(OR(A84="",ISBLANK('Source'!B78)),"",'Source'!B78)</x:f>
        <x:v>46315</x:v>
      </x:c>
      <x:c r="D84" s="2" t="str">
        <x:f>IF(A84="","",UPPER(TRIM('Source'!C78&amp;"")))</x:f>
        <x:v>LOGISTICS</x:v>
      </x:c>
      <x:c r="E84" s="15" t="n">
        <x:f>IF(OR(A84="",ISBLANK('Source'!D78)),"",'Source'!D78)</x:f>
        <x:v>1.5</x:v>
      </x:c>
      <x:c r="F84" s="15" t="n">
        <x:f>IF(OR(A84="",ISBLANK('Source'!E78)),"",'Source'!E78)</x:f>
        <x:v>42</x:v>
      </x:c>
      <x:c r="G84" s="15" t="n">
        <x:f>IF(OR(A84="",ISBLANK('Source'!F78)),"",'Source'!F78)</x:f>
        <x:v>48</x:v>
      </x:c>
      <x:c r="H84" s="2" t="n">
        <x:f>IF(A84="","",COUNTIFS($B$8:$B$213,B84))</x:f>
        <x:v>1</x:v>
      </x:c>
      <x:c r="I84" s="11" t="str">
        <x:f>IF(A84="","",IF(B84="","Missing ID; ","")&amp;IF(AND(B84&lt;&gt;"",H84&gt;1),"Duplicate ID; ","")&amp;IF(ISNUMBER(C84),IF(OR(C84&lt;'Report'!$C$5,C84&gt;'Report'!$F$5),"Outside reporting period; ",""),"Invalid date; ")&amp;IF(COUNTIFS('Guide'!$B$24:$B$26,D84)=0,"Unknown team; ","")&amp;IF(ISNUMBER(E84),IF(E84&lt;0,"Negative effort; ",""),"Missing/non-numeric effort; ")&amp;IF(ISNUMBER(F84),IF(F84&lt;0,"Negative resolution; ",""),"Missing/non-numeric resolution; ")&amp;IF(ISNUMBER(G84),IF(G84&lt;=0,"Invalid SLA target; ",""),"Missing/non-numeric SLA target; "))</x:f>
      </x:c>
      <x:c r="J84" s="2" t="str">
        <x:f>IF(A84="","",IF(I84="","Included","Review"))</x:f>
        <x:v>Included</x:v>
      </x:c>
      <x:c r="K84" s="2" t="n">
        <x:f>IF(J84="Included",IF(F84&lt;=G84,1,0),"")</x:f>
        <x:v>1</x:v>
      </x:c>
      <x:c r="L84" s="13" t="n">
        <x:f>IF(J84="Included",C84-WEEKDAY(C84,2)+1,"")</x:f>
        <x:v>46314</x:v>
      </x:c>
      <x:c r="M84" s="15" t="n">
        <x:f>IF(J84="Included",E84,0)</x:f>
        <x:v>1.5</x:v>
      </x:c>
      <x:c r="N84" s="15" t="n">
        <x:f>IF(J84="Included",F84,0)</x:f>
        <x:v>42</x:v>
      </x:c>
    </x:row>
    <x:row r="85" ht="32" customHeight="1">
      <x:c r="A85" s="2" t="n">
        <x:f>IF(COUNTA('Source'!A79:F79)=0,"",79)</x:f>
        <x:v>79</x:v>
      </x:c>
      <x:c r="B85" s="2" t="str">
        <x:f>IF(A85="","",UPPER(TRIM('Source'!A79&amp;"")))</x:f>
        <x:v>TU-0078</x:v>
      </x:c>
      <x:c r="C85" s="13" t="n">
        <x:f>IF(OR(A85="",ISBLANK('Source'!B79)),"",'Source'!B79)</x:f>
        <x:v>46316</x:v>
      </x:c>
      <x:c r="D85" s="2" t="str">
        <x:f>IF(A85="","",UPPER(TRIM('Source'!C79&amp;"")))</x:f>
        <x:v>FIELD</x:v>
      </x:c>
      <x:c r="E85" s="15" t="n">
        <x:f>IF(OR(A85="",ISBLANK('Source'!D79)),"",'Source'!D79)</x:f>
        <x:v>1.75</x:v>
      </x:c>
      <x:c r="F85" s="15" t="n">
        <x:f>IF(OR(A85="",ISBLANK('Source'!E79)),"",'Source'!E79)</x:f>
        <x:v>8</x:v>
      </x:c>
      <x:c r="G85" s="15" t="n">
        <x:f>IF(OR(A85="",ISBLANK('Source'!F79)),"",'Source'!F79)</x:f>
        <x:v>48</x:v>
      </x:c>
      <x:c r="H85" s="2" t="n">
        <x:f>IF(A85="","",COUNTIFS($B$8:$B$213,B85))</x:f>
        <x:v>1</x:v>
      </x:c>
      <x:c r="I85" s="11" t="str">
        <x:f>IF(A85="","",IF(B85="","Missing ID; ","")&amp;IF(AND(B85&lt;&gt;"",H85&gt;1),"Duplicate ID; ","")&amp;IF(ISNUMBER(C85),IF(OR(C85&lt;'Report'!$C$5,C85&gt;'Report'!$F$5),"Outside reporting period; ",""),"Invalid date; ")&amp;IF(COUNTIFS('Guide'!$B$24:$B$26,D85)=0,"Unknown team; ","")&amp;IF(ISNUMBER(E85),IF(E85&lt;0,"Negative effort; ",""),"Missing/non-numeric effort; ")&amp;IF(ISNUMBER(F85),IF(F85&lt;0,"Negative resolution; ",""),"Missing/non-numeric resolution; ")&amp;IF(ISNUMBER(G85),IF(G85&lt;=0,"Invalid SLA target; ",""),"Missing/non-numeric SLA target; "))</x:f>
      </x:c>
      <x:c r="J85" s="2" t="str">
        <x:f>IF(A85="","",IF(I85="","Included","Review"))</x:f>
        <x:v>Included</x:v>
      </x:c>
      <x:c r="K85" s="2" t="n">
        <x:f>IF(J85="Included",IF(F85&lt;=G85,1,0),"")</x:f>
        <x:v>1</x:v>
      </x:c>
      <x:c r="L85" s="13" t="n">
        <x:f>IF(J85="Included",C85-WEEKDAY(C85,2)+1,"")</x:f>
        <x:v>46314</x:v>
      </x:c>
      <x:c r="M85" s="15" t="n">
        <x:f>IF(J85="Included",E85,0)</x:f>
        <x:v>1.75</x:v>
      </x:c>
      <x:c r="N85" s="15" t="n">
        <x:f>IF(J85="Included",F85,0)</x:f>
        <x:v>8</x:v>
      </x:c>
    </x:row>
    <x:row r="86" ht="32" customHeight="1">
      <x:c r="A86" s="2" t="n">
        <x:f>IF(COUNTA('Source'!A80:F80)=0,"",80)</x:f>
        <x:v>80</x:v>
      </x:c>
      <x:c r="B86" s="2" t="str">
        <x:f>IF(A86="","",UPPER(TRIM('Source'!A80&amp;"")))</x:f>
        <x:v>TU-0079</x:v>
      </x:c>
      <x:c r="C86" s="13" t="n">
        <x:f>IF(OR(A86="",ISBLANK('Source'!B80)),"",'Source'!B80)</x:f>
        <x:v>46317</x:v>
      </x:c>
      <x:c r="D86" s="2" t="str">
        <x:f>IF(A86="","",UPPER(TRIM('Source'!C80&amp;"")))</x:f>
        <x:v>SUPPORT</x:v>
      </x:c>
      <x:c r="E86" s="15" t="n">
        <x:f>IF(OR(A86="",ISBLANK('Source'!D80)),"",'Source'!D80)</x:f>
        <x:v>2</x:v>
      </x:c>
      <x:c r="F86" s="15" t="n">
        <x:f>IF(OR(A86="",ISBLANK('Source'!E80)),"",'Source'!E80)</x:f>
        <x:v>15</x:v>
      </x:c>
      <x:c r="G86" s="15" t="n">
        <x:f>IF(OR(A86="",ISBLANK('Source'!F80)),"",'Source'!F80)</x:f>
        <x:v>24</x:v>
      </x:c>
      <x:c r="H86" s="2" t="n">
        <x:f>IF(A86="","",COUNTIFS($B$8:$B$213,B86))</x:f>
        <x:v>1</x:v>
      </x:c>
      <x:c r="I86" s="11" t="str">
        <x:f>IF(A86="","",IF(B86="","Missing ID; ","")&amp;IF(AND(B86&lt;&gt;"",H86&gt;1),"Duplicate ID; ","")&amp;IF(ISNUMBER(C86),IF(OR(C86&lt;'Report'!$C$5,C86&gt;'Report'!$F$5),"Outside reporting period; ",""),"Invalid date; ")&amp;IF(COUNTIFS('Guide'!$B$24:$B$26,D86)=0,"Unknown team; ","")&amp;IF(ISNUMBER(E86),IF(E86&lt;0,"Negative effort; ",""),"Missing/non-numeric effort; ")&amp;IF(ISNUMBER(F86),IF(F86&lt;0,"Negative resolution; ",""),"Missing/non-numeric resolution; ")&amp;IF(ISNUMBER(G86),IF(G86&lt;=0,"Invalid SLA target; ",""),"Missing/non-numeric SLA target; "))</x:f>
      </x:c>
      <x:c r="J86" s="2" t="str">
        <x:f>IF(A86="","",IF(I86="","Included","Review"))</x:f>
        <x:v>Included</x:v>
      </x:c>
      <x:c r="K86" s="2" t="n">
        <x:f>IF(J86="Included",IF(F86&lt;=G86,1,0),"")</x:f>
        <x:v>1</x:v>
      </x:c>
      <x:c r="L86" s="13" t="n">
        <x:f>IF(J86="Included",C86-WEEKDAY(C86,2)+1,"")</x:f>
        <x:v>46314</x:v>
      </x:c>
      <x:c r="M86" s="15" t="n">
        <x:f>IF(J86="Included",E86,0)</x:f>
        <x:v>2</x:v>
      </x:c>
      <x:c r="N86" s="15" t="n">
        <x:f>IF(J86="Included",F86,0)</x:f>
        <x:v>15</x:v>
      </x:c>
    </x:row>
    <x:row r="87" ht="32" customHeight="1">
      <x:c r="A87" s="2" t="n">
        <x:f>IF(COUNTA('Source'!A81:F81)=0,"",81)</x:f>
        <x:v>81</x:v>
      </x:c>
      <x:c r="B87" s="2" t="str">
        <x:f>IF(A87="","",UPPER(TRIM('Source'!A81&amp;"")))</x:f>
        <x:v>TU-0080</x:v>
      </x:c>
      <x:c r="C87" s="13" t="n">
        <x:f>IF(OR(A87="",ISBLANK('Source'!B81)),"",'Source'!B81)</x:f>
        <x:v>46318</x:v>
      </x:c>
      <x:c r="D87" s="2" t="str">
        <x:f>IF(A87="","",UPPER(TRIM('Source'!C81&amp;"")))</x:f>
        <x:v>LOGISTICS</x:v>
      </x:c>
      <x:c r="E87" s="15" t="n">
        <x:f>IF(OR(A87="",ISBLANK('Source'!D81)),"",'Source'!D81)</x:f>
        <x:v>2.25</x:v>
      </x:c>
      <x:c r="F87" s="15" t="n">
        <x:f>IF(OR(A87="",ISBLANK('Source'!E81)),"",'Source'!E81)</x:f>
        <x:v>22</x:v>
      </x:c>
      <x:c r="G87" s="15" t="n">
        <x:f>IF(OR(A87="",ISBLANK('Source'!F81)),"",'Source'!F81)</x:f>
        <x:v>48</x:v>
      </x:c>
      <x:c r="H87" s="2" t="n">
        <x:f>IF(A87="","",COUNTIFS($B$8:$B$213,B87))</x:f>
        <x:v>1</x:v>
      </x:c>
      <x:c r="I87" s="11" t="str">
        <x:f>IF(A87="","",IF(B87="","Missing ID; ","")&amp;IF(AND(B87&lt;&gt;"",H87&gt;1),"Duplicate ID; ","")&amp;IF(ISNUMBER(C87),IF(OR(C87&lt;'Report'!$C$5,C87&gt;'Report'!$F$5),"Outside reporting period; ",""),"Invalid date; ")&amp;IF(COUNTIFS('Guide'!$B$24:$B$26,D87)=0,"Unknown team; ","")&amp;IF(ISNUMBER(E87),IF(E87&lt;0,"Negative effort; ",""),"Missing/non-numeric effort; ")&amp;IF(ISNUMBER(F87),IF(F87&lt;0,"Negative resolution; ",""),"Missing/non-numeric resolution; ")&amp;IF(ISNUMBER(G87),IF(G87&lt;=0,"Invalid SLA target; ",""),"Missing/non-numeric SLA target; "))</x:f>
      </x:c>
      <x:c r="J87" s="2" t="str">
        <x:f>IF(A87="","",IF(I87="","Included","Review"))</x:f>
        <x:v>Included</x:v>
      </x:c>
      <x:c r="K87" s="2" t="n">
        <x:f>IF(J87="Included",IF(F87&lt;=G87,1,0),"")</x:f>
        <x:v>1</x:v>
      </x:c>
      <x:c r="L87" s="13" t="n">
        <x:f>IF(J87="Included",C87-WEEKDAY(C87,2)+1,"")</x:f>
        <x:v>46314</x:v>
      </x:c>
      <x:c r="M87" s="15" t="n">
        <x:f>IF(J87="Included",E87,0)</x:f>
        <x:v>2.25</x:v>
      </x:c>
      <x:c r="N87" s="15" t="n">
        <x:f>IF(J87="Included",F87,0)</x:f>
        <x:v>22</x:v>
      </x:c>
    </x:row>
    <x:row r="88" ht="32" customHeight="1">
      <x:c r="A88" s="2" t="n">
        <x:f>IF(COUNTA('Source'!A82:F82)=0,"",82)</x:f>
        <x:v>82</x:v>
      </x:c>
      <x:c r="B88" s="2" t="str">
        <x:f>IF(A88="","",UPPER(TRIM('Source'!A82&amp;"")))</x:f>
        <x:v>TU-0081</x:v>
      </x:c>
      <x:c r="C88" s="13" t="n">
        <x:f>IF(OR(A88="",ISBLANK('Source'!B82)),"",'Source'!B82)</x:f>
        <x:v>46314</x:v>
      </x:c>
      <x:c r="D88" s="2" t="str">
        <x:f>IF(A88="","",UPPER(TRIM('Source'!C82&amp;"")))</x:f>
        <x:v>FIELD</x:v>
      </x:c>
      <x:c r="E88" s="15" t="n">
        <x:f>IF(OR(A88="",ISBLANK('Source'!D82)),"",'Source'!D82)</x:f>
        <x:v>2.5</x:v>
      </x:c>
      <x:c r="F88" s="15" t="n">
        <x:f>IF(OR(A88="",ISBLANK('Source'!E82)),"",'Source'!E82)</x:f>
        <x:v>29</x:v>
      </x:c>
      <x:c r="G88" s="15" t="n">
        <x:f>IF(OR(A88="",ISBLANK('Source'!F82)),"",'Source'!F82)</x:f>
        <x:v>48</x:v>
      </x:c>
      <x:c r="H88" s="2" t="n">
        <x:f>IF(A88="","",COUNTIFS($B$8:$B$213,B88))</x:f>
        <x:v>1</x:v>
      </x:c>
      <x:c r="I88" s="11" t="str">
        <x:f>IF(A88="","",IF(B88="","Missing ID; ","")&amp;IF(AND(B88&lt;&gt;"",H88&gt;1),"Duplicate ID; ","")&amp;IF(ISNUMBER(C88),IF(OR(C88&lt;'Report'!$C$5,C88&gt;'Report'!$F$5),"Outside reporting period; ",""),"Invalid date; ")&amp;IF(COUNTIFS('Guide'!$B$24:$B$26,D88)=0,"Unknown team; ","")&amp;IF(ISNUMBER(E88),IF(E88&lt;0,"Negative effort; ",""),"Missing/non-numeric effort; ")&amp;IF(ISNUMBER(F88),IF(F88&lt;0,"Negative resolution; ",""),"Missing/non-numeric resolution; ")&amp;IF(ISNUMBER(G88),IF(G88&lt;=0,"Invalid SLA target; ",""),"Missing/non-numeric SLA target; "))</x:f>
      </x:c>
      <x:c r="J88" s="2" t="str">
        <x:f>IF(A88="","",IF(I88="","Included","Review"))</x:f>
        <x:v>Included</x:v>
      </x:c>
      <x:c r="K88" s="2" t="n">
        <x:f>IF(J88="Included",IF(F88&lt;=G88,1,0),"")</x:f>
        <x:v>1</x:v>
      </x:c>
      <x:c r="L88" s="13" t="n">
        <x:f>IF(J88="Included",C88-WEEKDAY(C88,2)+1,"")</x:f>
        <x:v>46314</x:v>
      </x:c>
      <x:c r="M88" s="15" t="n">
        <x:f>IF(J88="Included",E88,0)</x:f>
        <x:v>2.5</x:v>
      </x:c>
      <x:c r="N88" s="15" t="n">
        <x:f>IF(J88="Included",F88,0)</x:f>
        <x:v>29</x:v>
      </x:c>
    </x:row>
    <x:row r="89" ht="32" customHeight="1">
      <x:c r="A89" s="2" t="n">
        <x:f>IF(COUNTA('Source'!A83:F83)=0,"",83)</x:f>
        <x:v>83</x:v>
      </x:c>
      <x:c r="B89" s="2" t="str">
        <x:f>IF(A89="","",UPPER(TRIM('Source'!A83&amp;"")))</x:f>
        <x:v>TU-0082</x:v>
      </x:c>
      <x:c r="C89" s="13" t="n">
        <x:f>IF(OR(A89="",ISBLANK('Source'!B83)),"",'Source'!B83)</x:f>
        <x:v>46315</x:v>
      </x:c>
      <x:c r="D89" s="2" t="str">
        <x:f>IF(A89="","",UPPER(TRIM('Source'!C83&amp;"")))</x:f>
        <x:v>SUPPORT</x:v>
      </x:c>
      <x:c r="E89" s="15" t="n">
        <x:f>IF(OR(A89="",ISBLANK('Source'!D83)),"",'Source'!D83)</x:f>
        <x:v>0.5</x:v>
      </x:c>
      <x:c r="F89" s="15" t="n">
        <x:f>IF(OR(A89="",ISBLANK('Source'!E83)),"",'Source'!E83)</x:f>
        <x:v>36</x:v>
      </x:c>
      <x:c r="G89" s="15" t="n">
        <x:f>IF(OR(A89="",ISBLANK('Source'!F83)),"",'Source'!F83)</x:f>
        <x:v>24</x:v>
      </x:c>
      <x:c r="H89" s="2" t="n">
        <x:f>IF(A89="","",COUNTIFS($B$8:$B$213,B89))</x:f>
        <x:v>1</x:v>
      </x:c>
      <x:c r="I89" s="11" t="str">
        <x:f>IF(A89="","",IF(B89="","Missing ID; ","")&amp;IF(AND(B89&lt;&gt;"",H89&gt;1),"Duplicate ID; ","")&amp;IF(ISNUMBER(C89),IF(OR(C89&lt;'Report'!$C$5,C89&gt;'Report'!$F$5),"Outside reporting period; ",""),"Invalid date; ")&amp;IF(COUNTIFS('Guide'!$B$24:$B$26,D89)=0,"Unknown team; ","")&amp;IF(ISNUMBER(E89),IF(E89&lt;0,"Negative effort; ",""),"Missing/non-numeric effort; ")&amp;IF(ISNUMBER(F89),IF(F89&lt;0,"Negative resolution; ",""),"Missing/non-numeric resolution; ")&amp;IF(ISNUMBER(G89),IF(G89&lt;=0,"Invalid SLA target; ",""),"Missing/non-numeric SLA target; "))</x:f>
      </x:c>
      <x:c r="J89" s="2" t="str">
        <x:f>IF(A89="","",IF(I89="","Included","Review"))</x:f>
        <x:v>Included</x:v>
      </x:c>
      <x:c r="K89" s="2" t="n">
        <x:f>IF(J89="Included",IF(F89&lt;=G89,1,0),"")</x:f>
        <x:v>0</x:v>
      </x:c>
      <x:c r="L89" s="13" t="n">
        <x:f>IF(J89="Included",C89-WEEKDAY(C89,2)+1,"")</x:f>
        <x:v>46314</x:v>
      </x:c>
      <x:c r="M89" s="15" t="n">
        <x:f>IF(J89="Included",E89,0)</x:f>
        <x:v>0.5</x:v>
      </x:c>
      <x:c r="N89" s="15" t="n">
        <x:f>IF(J89="Included",F89,0)</x:f>
        <x:v>36</x:v>
      </x:c>
    </x:row>
    <x:row r="90" ht="32" customHeight="1">
      <x:c r="A90" s="2" t="n">
        <x:f>IF(COUNTA('Source'!A84:F84)=0,"",84)</x:f>
        <x:v>84</x:v>
      </x:c>
      <x:c r="B90" s="2" t="str">
        <x:f>IF(A90="","",UPPER(TRIM('Source'!A84&amp;"")))</x:f>
        <x:v>TU-0083</x:v>
      </x:c>
      <x:c r="C90" s="13" t="n">
        <x:f>IF(OR(A90="",ISBLANK('Source'!B84)),"",'Source'!B84)</x:f>
        <x:v>46316</x:v>
      </x:c>
      <x:c r="D90" s="2" t="str">
        <x:f>IF(A90="","",UPPER(TRIM('Source'!C84&amp;"")))</x:f>
        <x:v>LOGISTICS</x:v>
      </x:c>
      <x:c r="E90" s="15" t="n">
        <x:f>IF(OR(A90="",ISBLANK('Source'!D84)),"",'Source'!D84)</x:f>
        <x:v>0.75</x:v>
      </x:c>
      <x:c r="F90" s="15" t="n">
        <x:f>IF(OR(A90="",ISBLANK('Source'!E84)),"",'Source'!E84)</x:f>
        <x:v>2</x:v>
      </x:c>
      <x:c r="G90" s="15" t="n">
        <x:f>IF(OR(A90="",ISBLANK('Source'!F84)),"",'Source'!F84)</x:f>
        <x:v>48</x:v>
      </x:c>
      <x:c r="H90" s="2" t="n">
        <x:f>IF(A90="","",COUNTIFS($B$8:$B$213,B90))</x:f>
        <x:v>1</x:v>
      </x:c>
      <x:c r="I90" s="11" t="str">
        <x:f>IF(A90="","",IF(B90="","Missing ID; ","")&amp;IF(AND(B90&lt;&gt;"",H90&gt;1),"Duplicate ID; ","")&amp;IF(ISNUMBER(C90),IF(OR(C90&lt;'Report'!$C$5,C90&gt;'Report'!$F$5),"Outside reporting period; ",""),"Invalid date; ")&amp;IF(COUNTIFS('Guide'!$B$24:$B$26,D90)=0,"Unknown team; ","")&amp;IF(ISNUMBER(E90),IF(E90&lt;0,"Negative effort; ",""),"Missing/non-numeric effort; ")&amp;IF(ISNUMBER(F90),IF(F90&lt;0,"Negative resolution; ",""),"Missing/non-numeric resolution; ")&amp;IF(ISNUMBER(G90),IF(G90&lt;=0,"Invalid SLA target; ",""),"Missing/non-numeric SLA target; "))</x:f>
      </x:c>
      <x:c r="J90" s="2" t="str">
        <x:f>IF(A90="","",IF(I90="","Included","Review"))</x:f>
        <x:v>Included</x:v>
      </x:c>
      <x:c r="K90" s="2" t="n">
        <x:f>IF(J90="Included",IF(F90&lt;=G90,1,0),"")</x:f>
        <x:v>1</x:v>
      </x:c>
      <x:c r="L90" s="13" t="n">
        <x:f>IF(J90="Included",C90-WEEKDAY(C90,2)+1,"")</x:f>
        <x:v>46314</x:v>
      </x:c>
      <x:c r="M90" s="15" t="n">
        <x:f>IF(J90="Included",E90,0)</x:f>
        <x:v>0.75</x:v>
      </x:c>
      <x:c r="N90" s="15" t="n">
        <x:f>IF(J90="Included",F90,0)</x:f>
        <x:v>2</x:v>
      </x:c>
    </x:row>
    <x:row r="91" ht="32" customHeight="1">
      <x:c r="A91" s="2" t="n">
        <x:f>IF(COUNTA('Source'!A85:F85)=0,"",85)</x:f>
        <x:v>85</x:v>
      </x:c>
      <x:c r="B91" s="2" t="str">
        <x:f>IF(A91="","",UPPER(TRIM('Source'!A85&amp;"")))</x:f>
        <x:v>TU-0084</x:v>
      </x:c>
      <x:c r="C91" s="13" t="n">
        <x:f>IF(OR(A91="",ISBLANK('Source'!B85)),"",'Source'!B85)</x:f>
        <x:v>46317</x:v>
      </x:c>
      <x:c r="D91" s="2" t="str">
        <x:f>IF(A91="","",UPPER(TRIM('Source'!C85&amp;"")))</x:f>
        <x:v>FIELD</x:v>
      </x:c>
      <x:c r="E91" s="15" t="n">
        <x:f>IF(OR(A91="",ISBLANK('Source'!D85)),"",'Source'!D85)</x:f>
        <x:v>1</x:v>
      </x:c>
      <x:c r="F91" s="15" t="n">
        <x:f>IF(OR(A91="",ISBLANK('Source'!E85)),"",'Source'!E85)</x:f>
        <x:v>9</x:v>
      </x:c>
      <x:c r="G91" s="15" t="n">
        <x:f>IF(OR(A91="",ISBLANK('Source'!F85)),"",'Source'!F85)</x:f>
        <x:v>48</x:v>
      </x:c>
      <x:c r="H91" s="2" t="n">
        <x:f>IF(A91="","",COUNTIFS($B$8:$B$213,B91))</x:f>
        <x:v>1</x:v>
      </x:c>
      <x:c r="I91" s="11" t="str">
        <x:f>IF(A91="","",IF(B91="","Missing ID; ","")&amp;IF(AND(B91&lt;&gt;"",H91&gt;1),"Duplicate ID; ","")&amp;IF(ISNUMBER(C91),IF(OR(C91&lt;'Report'!$C$5,C91&gt;'Report'!$F$5),"Outside reporting period; ",""),"Invalid date; ")&amp;IF(COUNTIFS('Guide'!$B$24:$B$26,D91)=0,"Unknown team; ","")&amp;IF(ISNUMBER(E91),IF(E91&lt;0,"Negative effort; ",""),"Missing/non-numeric effort; ")&amp;IF(ISNUMBER(F91),IF(F91&lt;0,"Negative resolution; ",""),"Missing/non-numeric resolution; ")&amp;IF(ISNUMBER(G91),IF(G91&lt;=0,"Invalid SLA target; ",""),"Missing/non-numeric SLA target; "))</x:f>
      </x:c>
      <x:c r="J91" s="2" t="str">
        <x:f>IF(A91="","",IF(I91="","Included","Review"))</x:f>
        <x:v>Included</x:v>
      </x:c>
      <x:c r="K91" s="2" t="n">
        <x:f>IF(J91="Included",IF(F91&lt;=G91,1,0),"")</x:f>
        <x:v>1</x:v>
      </x:c>
      <x:c r="L91" s="13" t="n">
        <x:f>IF(J91="Included",C91-WEEKDAY(C91,2)+1,"")</x:f>
        <x:v>46314</x:v>
      </x:c>
      <x:c r="M91" s="15" t="n">
        <x:f>IF(J91="Included",E91,0)</x:f>
        <x:v>1</x:v>
      </x:c>
      <x:c r="N91" s="15" t="n">
        <x:f>IF(J91="Included",F91,0)</x:f>
        <x:v>9</x:v>
      </x:c>
    </x:row>
    <x:row r="92" ht="32" customHeight="1">
      <x:c r="A92" s="2" t="n">
        <x:f>IF(COUNTA('Source'!A86:F86)=0,"",86)</x:f>
        <x:v>86</x:v>
      </x:c>
      <x:c r="B92" s="2" t="str">
        <x:f>IF(A92="","",UPPER(TRIM('Source'!A86&amp;"")))</x:f>
        <x:v>TU-0085</x:v>
      </x:c>
      <x:c r="C92" s="13" t="n">
        <x:f>IF(OR(A92="",ISBLANK('Source'!B86)),"",'Source'!B86)</x:f>
        <x:v>46318</x:v>
      </x:c>
      <x:c r="D92" s="2" t="str">
        <x:f>IF(A92="","",UPPER(TRIM('Source'!C86&amp;"")))</x:f>
        <x:v>SUPPORT</x:v>
      </x:c>
      <x:c r="E92" s="15" t="n">
        <x:f>IF(OR(A92="",ISBLANK('Source'!D86)),"",'Source'!D86)</x:f>
        <x:v>1.25</x:v>
      </x:c>
      <x:c r="F92" s="15" t="n">
        <x:f>IF(OR(A92="",ISBLANK('Source'!E86)),"",'Source'!E86)</x:f>
        <x:v>16</x:v>
      </x:c>
      <x:c r="G92" s="15" t="n">
        <x:f>IF(OR(A92="",ISBLANK('Source'!F86)),"",'Source'!F86)</x:f>
        <x:v>24</x:v>
      </x:c>
      <x:c r="H92" s="2" t="n">
        <x:f>IF(A92="","",COUNTIFS($B$8:$B$213,B92))</x:f>
        <x:v>1</x:v>
      </x:c>
      <x:c r="I92" s="11" t="str">
        <x:f>IF(A92="","",IF(B92="","Missing ID; ","")&amp;IF(AND(B92&lt;&gt;"",H92&gt;1),"Duplicate ID; ","")&amp;IF(ISNUMBER(C92),IF(OR(C92&lt;'Report'!$C$5,C92&gt;'Report'!$F$5),"Outside reporting period; ",""),"Invalid date; ")&amp;IF(COUNTIFS('Guide'!$B$24:$B$26,D92)=0,"Unknown team; ","")&amp;IF(ISNUMBER(E92),IF(E92&lt;0,"Negative effort; ",""),"Missing/non-numeric effort; ")&amp;IF(ISNUMBER(F92),IF(F92&lt;0,"Negative resolution; ",""),"Missing/non-numeric resolution; ")&amp;IF(ISNUMBER(G92),IF(G92&lt;=0,"Invalid SLA target; ",""),"Missing/non-numeric SLA target; "))</x:f>
      </x:c>
      <x:c r="J92" s="2" t="str">
        <x:f>IF(A92="","",IF(I92="","Included","Review"))</x:f>
        <x:v>Included</x:v>
      </x:c>
      <x:c r="K92" s="2" t="n">
        <x:f>IF(J92="Included",IF(F92&lt;=G92,1,0),"")</x:f>
        <x:v>1</x:v>
      </x:c>
      <x:c r="L92" s="13" t="n">
        <x:f>IF(J92="Included",C92-WEEKDAY(C92,2)+1,"")</x:f>
        <x:v>46314</x:v>
      </x:c>
      <x:c r="M92" s="15" t="n">
        <x:f>IF(J92="Included",E92,0)</x:f>
        <x:v>1.25</x:v>
      </x:c>
      <x:c r="N92" s="15" t="n">
        <x:f>IF(J92="Included",F92,0)</x:f>
        <x:v>16</x:v>
      </x:c>
    </x:row>
    <x:row r="93" ht="32" customHeight="1">
      <x:c r="A93" s="2" t="n">
        <x:f>IF(COUNTA('Source'!A87:F87)=0,"",87)</x:f>
        <x:v>87</x:v>
      </x:c>
      <x:c r="B93" s="2" t="str">
        <x:f>IF(A93="","",UPPER(TRIM('Source'!A87&amp;"")))</x:f>
        <x:v>TU-0086</x:v>
      </x:c>
      <x:c r="C93" s="13" t="n">
        <x:f>IF(OR(A93="",ISBLANK('Source'!B87)),"",'Source'!B87)</x:f>
        <x:v>46314</x:v>
      </x:c>
      <x:c r="D93" s="2" t="str">
        <x:f>IF(A93="","",UPPER(TRIM('Source'!C87&amp;"")))</x:f>
        <x:v>LOGISTICS</x:v>
      </x:c>
      <x:c r="E93" s="15" t="n">
        <x:f>IF(OR(A93="",ISBLANK('Source'!D87)),"",'Source'!D87)</x:f>
        <x:v>1.5</x:v>
      </x:c>
      <x:c r="F93" s="15" t="n">
        <x:f>IF(OR(A93="",ISBLANK('Source'!E87)),"",'Source'!E87)</x:f>
        <x:v>23</x:v>
      </x:c>
      <x:c r="G93" s="15" t="n">
        <x:f>IF(OR(A93="",ISBLANK('Source'!F87)),"",'Source'!F87)</x:f>
        <x:v>48</x:v>
      </x:c>
      <x:c r="H93" s="2" t="n">
        <x:f>IF(A93="","",COUNTIFS($B$8:$B$213,B93))</x:f>
        <x:v>1</x:v>
      </x:c>
      <x:c r="I93" s="11" t="str">
        <x:f>IF(A93="","",IF(B93="","Missing ID; ","")&amp;IF(AND(B93&lt;&gt;"",H93&gt;1),"Duplicate ID; ","")&amp;IF(ISNUMBER(C93),IF(OR(C93&lt;'Report'!$C$5,C93&gt;'Report'!$F$5),"Outside reporting period; ",""),"Invalid date; ")&amp;IF(COUNTIFS('Guide'!$B$24:$B$26,D93)=0,"Unknown team; ","")&amp;IF(ISNUMBER(E93),IF(E93&lt;0,"Negative effort; ",""),"Missing/non-numeric effort; ")&amp;IF(ISNUMBER(F93),IF(F93&lt;0,"Negative resolution; ",""),"Missing/non-numeric resolution; ")&amp;IF(ISNUMBER(G93),IF(G93&lt;=0,"Invalid SLA target; ",""),"Missing/non-numeric SLA target; "))</x:f>
      </x:c>
      <x:c r="J93" s="2" t="str">
        <x:f>IF(A93="","",IF(I93="","Included","Review"))</x:f>
        <x:v>Included</x:v>
      </x:c>
      <x:c r="K93" s="2" t="n">
        <x:f>IF(J93="Included",IF(F93&lt;=G93,1,0),"")</x:f>
        <x:v>1</x:v>
      </x:c>
      <x:c r="L93" s="13" t="n">
        <x:f>IF(J93="Included",C93-WEEKDAY(C93,2)+1,"")</x:f>
        <x:v>46314</x:v>
      </x:c>
      <x:c r="M93" s="15" t="n">
        <x:f>IF(J93="Included",E93,0)</x:f>
        <x:v>1.5</x:v>
      </x:c>
      <x:c r="N93" s="15" t="n">
        <x:f>IF(J93="Included",F93,0)</x:f>
        <x:v>23</x:v>
      </x:c>
    </x:row>
    <x:row r="94" ht="32" customHeight="1">
      <x:c r="A94" s="2" t="n">
        <x:f>IF(COUNTA('Source'!A88:F88)=0,"",88)</x:f>
        <x:v>88</x:v>
      </x:c>
      <x:c r="B94" s="2" t="str">
        <x:f>IF(A94="","",UPPER(TRIM('Source'!A88&amp;"")))</x:f>
        <x:v>TU-0087</x:v>
      </x:c>
      <x:c r="C94" s="13" t="n">
        <x:f>IF(OR(A94="",ISBLANK('Source'!B88)),"",'Source'!B88)</x:f>
        <x:v>46315</x:v>
      </x:c>
      <x:c r="D94" s="2" t="str">
        <x:f>IF(A94="","",UPPER(TRIM('Source'!C88&amp;"")))</x:f>
        <x:v>FIELD</x:v>
      </x:c>
      <x:c r="E94" s="15" t="n">
        <x:f>IF(OR(A94="",ISBLANK('Source'!D88)),"",'Source'!D88)</x:f>
        <x:v>1.75</x:v>
      </x:c>
      <x:c r="F94" s="15" t="n">
        <x:f>IF(OR(A94="",ISBLANK('Source'!E88)),"",'Source'!E88)</x:f>
        <x:v>30</x:v>
      </x:c>
      <x:c r="G94" s="15" t="n">
        <x:f>IF(OR(A94="",ISBLANK('Source'!F88)),"",'Source'!F88)</x:f>
        <x:v>48</x:v>
      </x:c>
      <x:c r="H94" s="2" t="n">
        <x:f>IF(A94="","",COUNTIFS($B$8:$B$213,B94))</x:f>
        <x:v>1</x:v>
      </x:c>
      <x:c r="I94" s="11" t="str">
        <x:f>IF(A94="","",IF(B94="","Missing ID; ","")&amp;IF(AND(B94&lt;&gt;"",H94&gt;1),"Duplicate ID; ","")&amp;IF(ISNUMBER(C94),IF(OR(C94&lt;'Report'!$C$5,C94&gt;'Report'!$F$5),"Outside reporting period; ",""),"Invalid date; ")&amp;IF(COUNTIFS('Guide'!$B$24:$B$26,D94)=0,"Unknown team; ","")&amp;IF(ISNUMBER(E94),IF(E94&lt;0,"Negative effort; ",""),"Missing/non-numeric effort; ")&amp;IF(ISNUMBER(F94),IF(F94&lt;0,"Negative resolution; ",""),"Missing/non-numeric resolution; ")&amp;IF(ISNUMBER(G94),IF(G94&lt;=0,"Invalid SLA target; ",""),"Missing/non-numeric SLA target; "))</x:f>
      </x:c>
      <x:c r="J94" s="2" t="str">
        <x:f>IF(A94="","",IF(I94="","Included","Review"))</x:f>
        <x:v>Included</x:v>
      </x:c>
      <x:c r="K94" s="2" t="n">
        <x:f>IF(J94="Included",IF(F94&lt;=G94,1,0),"")</x:f>
        <x:v>1</x:v>
      </x:c>
      <x:c r="L94" s="13" t="n">
        <x:f>IF(J94="Included",C94-WEEKDAY(C94,2)+1,"")</x:f>
        <x:v>46314</x:v>
      </x:c>
      <x:c r="M94" s="15" t="n">
        <x:f>IF(J94="Included",E94,0)</x:f>
        <x:v>1.75</x:v>
      </x:c>
      <x:c r="N94" s="15" t="n">
        <x:f>IF(J94="Included",F94,0)</x:f>
        <x:v>30</x:v>
      </x:c>
    </x:row>
    <x:row r="95" ht="32" customHeight="1">
      <x:c r="A95" s="2" t="n">
        <x:f>IF(COUNTA('Source'!A89:F89)=0,"",89)</x:f>
        <x:v>89</x:v>
      </x:c>
      <x:c r="B95" s="2" t="str">
        <x:f>IF(A95="","",UPPER(TRIM('Source'!A89&amp;"")))</x:f>
        <x:v>TU-0088</x:v>
      </x:c>
      <x:c r="C95" s="13" t="n">
        <x:f>IF(OR(A95="",ISBLANK('Source'!B89)),"",'Source'!B89)</x:f>
        <x:v>46316</x:v>
      </x:c>
      <x:c r="D95" s="2" t="str">
        <x:f>IF(A95="","",UPPER(TRIM('Source'!C89&amp;"")))</x:f>
        <x:v>SUPPORT</x:v>
      </x:c>
      <x:c r="E95" s="15" t="n">
        <x:f>IF(OR(A95="",ISBLANK('Source'!D89)),"",'Source'!D89)</x:f>
        <x:v>2</x:v>
      </x:c>
      <x:c r="F95" s="15" t="n">
        <x:f>IF(OR(A95="",ISBLANK('Source'!E89)),"",'Source'!E89)</x:f>
        <x:v>37</x:v>
      </x:c>
      <x:c r="G95" s="15" t="n">
        <x:f>IF(OR(A95="",ISBLANK('Source'!F89)),"",'Source'!F89)</x:f>
        <x:v>24</x:v>
      </x:c>
      <x:c r="H95" s="2" t="n">
        <x:f>IF(A95="","",COUNTIFS($B$8:$B$213,B95))</x:f>
        <x:v>1</x:v>
      </x:c>
      <x:c r="I95" s="11" t="str">
        <x:f>IF(A95="","",IF(B95="","Missing ID; ","")&amp;IF(AND(B95&lt;&gt;"",H95&gt;1),"Duplicate ID; ","")&amp;IF(ISNUMBER(C95),IF(OR(C95&lt;'Report'!$C$5,C95&gt;'Report'!$F$5),"Outside reporting period; ",""),"Invalid date; ")&amp;IF(COUNTIFS('Guide'!$B$24:$B$26,D95)=0,"Unknown team; ","")&amp;IF(ISNUMBER(E95),IF(E95&lt;0,"Negative effort; ",""),"Missing/non-numeric effort; ")&amp;IF(ISNUMBER(F95),IF(F95&lt;0,"Negative resolution; ",""),"Missing/non-numeric resolution; ")&amp;IF(ISNUMBER(G95),IF(G95&lt;=0,"Invalid SLA target; ",""),"Missing/non-numeric SLA target; "))</x:f>
      </x:c>
      <x:c r="J95" s="2" t="str">
        <x:f>IF(A95="","",IF(I95="","Included","Review"))</x:f>
        <x:v>Included</x:v>
      </x:c>
      <x:c r="K95" s="2" t="n">
        <x:f>IF(J95="Included",IF(F95&lt;=G95,1,0),"")</x:f>
        <x:v>0</x:v>
      </x:c>
      <x:c r="L95" s="13" t="n">
        <x:f>IF(J95="Included",C95-WEEKDAY(C95,2)+1,"")</x:f>
        <x:v>46314</x:v>
      </x:c>
      <x:c r="M95" s="15" t="n">
        <x:f>IF(J95="Included",E95,0)</x:f>
        <x:v>2</x:v>
      </x:c>
      <x:c r="N95" s="15" t="n">
        <x:f>IF(J95="Included",F95,0)</x:f>
        <x:v>37</x:v>
      </x:c>
    </x:row>
    <x:row r="96" ht="32" customHeight="1">
      <x:c r="A96" s="2" t="n">
        <x:f>IF(COUNTA('Source'!A90:F90)=0,"",90)</x:f>
        <x:v>90</x:v>
      </x:c>
      <x:c r="B96" s="2" t="str">
        <x:f>IF(A96="","",UPPER(TRIM('Source'!A90&amp;"")))</x:f>
        <x:v>TU-0089</x:v>
      </x:c>
      <x:c r="C96" s="13" t="n">
        <x:f>IF(OR(A96="",ISBLANK('Source'!B90)),"",'Source'!B90)</x:f>
        <x:v>46317</x:v>
      </x:c>
      <x:c r="D96" s="2" t="str">
        <x:f>IF(A96="","",UPPER(TRIM('Source'!C90&amp;"")))</x:f>
        <x:v>LOGISTICS</x:v>
      </x:c>
      <x:c r="E96" s="15" t="n">
        <x:f>IF(OR(A96="",ISBLANK('Source'!D90)),"",'Source'!D90)</x:f>
        <x:v>2.25</x:v>
      </x:c>
      <x:c r="F96" s="15" t="n">
        <x:f>IF(OR(A96="",ISBLANK('Source'!E90)),"",'Source'!E90)</x:f>
        <x:v>3</x:v>
      </x:c>
      <x:c r="G96" s="15" t="n">
        <x:f>IF(OR(A96="",ISBLANK('Source'!F90)),"",'Source'!F90)</x:f>
        <x:v>48</x:v>
      </x:c>
      <x:c r="H96" s="2" t="n">
        <x:f>IF(A96="","",COUNTIFS($B$8:$B$213,B96))</x:f>
        <x:v>1</x:v>
      </x:c>
      <x:c r="I96" s="11" t="str">
        <x:f>IF(A96="","",IF(B96="","Missing ID; ","")&amp;IF(AND(B96&lt;&gt;"",H96&gt;1),"Duplicate ID; ","")&amp;IF(ISNUMBER(C96),IF(OR(C96&lt;'Report'!$C$5,C96&gt;'Report'!$F$5),"Outside reporting period; ",""),"Invalid date; ")&amp;IF(COUNTIFS('Guide'!$B$24:$B$26,D96)=0,"Unknown team; ","")&amp;IF(ISNUMBER(E96),IF(E96&lt;0,"Negative effort; ",""),"Missing/non-numeric effort; ")&amp;IF(ISNUMBER(F96),IF(F96&lt;0,"Negative resolution; ",""),"Missing/non-numeric resolution; ")&amp;IF(ISNUMBER(G96),IF(G96&lt;=0,"Invalid SLA target; ",""),"Missing/non-numeric SLA target; "))</x:f>
      </x:c>
      <x:c r="J96" s="2" t="str">
        <x:f>IF(A96="","",IF(I96="","Included","Review"))</x:f>
        <x:v>Included</x:v>
      </x:c>
      <x:c r="K96" s="2" t="n">
        <x:f>IF(J96="Included",IF(F96&lt;=G96,1,0),"")</x:f>
        <x:v>1</x:v>
      </x:c>
      <x:c r="L96" s="13" t="n">
        <x:f>IF(J96="Included",C96-WEEKDAY(C96,2)+1,"")</x:f>
        <x:v>46314</x:v>
      </x:c>
      <x:c r="M96" s="15" t="n">
        <x:f>IF(J96="Included",E96,0)</x:f>
        <x:v>2.25</x:v>
      </x:c>
      <x:c r="N96" s="15" t="n">
        <x:f>IF(J96="Included",F96,0)</x:f>
        <x:v>3</x:v>
      </x:c>
    </x:row>
    <x:row r="97" ht="32" customHeight="1">
      <x:c r="A97" s="2" t="n">
        <x:f>IF(COUNTA('Source'!A91:F91)=0,"",91)</x:f>
        <x:v>91</x:v>
      </x:c>
      <x:c r="B97" s="2" t="str">
        <x:f>IF(A97="","",UPPER(TRIM('Source'!A91&amp;"")))</x:f>
        <x:v>TU-0090</x:v>
      </x:c>
      <x:c r="C97" s="13" t="n">
        <x:f>IF(OR(A97="",ISBLANK('Source'!B91)),"",'Source'!B91)</x:f>
        <x:v>46318</x:v>
      </x:c>
      <x:c r="D97" s="2" t="str">
        <x:f>IF(A97="","",UPPER(TRIM('Source'!C91&amp;"")))</x:f>
        <x:v>FIELD</x:v>
      </x:c>
      <x:c r="E97" s="15" t="n">
        <x:f>IF(OR(A97="",ISBLANK('Source'!D91)),"",'Source'!D91)</x:f>
        <x:v>2.5</x:v>
      </x:c>
      <x:c r="F97" s="15" t="n">
        <x:f>IF(OR(A97="",ISBLANK('Source'!E91)),"",'Source'!E91)</x:f>
        <x:v>10</x:v>
      </x:c>
      <x:c r="G97" s="15" t="n">
        <x:f>IF(OR(A97="",ISBLANK('Source'!F91)),"",'Source'!F91)</x:f>
        <x:v>48</x:v>
      </x:c>
      <x:c r="H97" s="2" t="n">
        <x:f>IF(A97="","",COUNTIFS($B$8:$B$213,B97))</x:f>
        <x:v>1</x:v>
      </x:c>
      <x:c r="I97" s="11" t="str">
        <x:f>IF(A97="","",IF(B97="","Missing ID; ","")&amp;IF(AND(B97&lt;&gt;"",H97&gt;1),"Duplicate ID; ","")&amp;IF(ISNUMBER(C97),IF(OR(C97&lt;'Report'!$C$5,C97&gt;'Report'!$F$5),"Outside reporting period; ",""),"Invalid date; ")&amp;IF(COUNTIFS('Guide'!$B$24:$B$26,D97)=0,"Unknown team; ","")&amp;IF(ISNUMBER(E97),IF(E97&lt;0,"Negative effort; ",""),"Missing/non-numeric effort; ")&amp;IF(ISNUMBER(F97),IF(F97&lt;0,"Negative resolution; ",""),"Missing/non-numeric resolution; ")&amp;IF(ISNUMBER(G97),IF(G97&lt;=0,"Invalid SLA target; ",""),"Missing/non-numeric SLA target; "))</x:f>
      </x:c>
      <x:c r="J97" s="2" t="str">
        <x:f>IF(A97="","",IF(I97="","Included","Review"))</x:f>
        <x:v>Included</x:v>
      </x:c>
      <x:c r="K97" s="2" t="n">
        <x:f>IF(J97="Included",IF(F97&lt;=G97,1,0),"")</x:f>
        <x:v>1</x:v>
      </x:c>
      <x:c r="L97" s="13" t="n">
        <x:f>IF(J97="Included",C97-WEEKDAY(C97,2)+1,"")</x:f>
        <x:v>46314</x:v>
      </x:c>
      <x:c r="M97" s="15" t="n">
        <x:f>IF(J97="Included",E97,0)</x:f>
        <x:v>2.5</x:v>
      </x:c>
      <x:c r="N97" s="15" t="n">
        <x:f>IF(J97="Included",F97,0)</x:f>
        <x:v>10</x:v>
      </x:c>
    </x:row>
    <x:row r="98" ht="32" customHeight="1">
      <x:c r="A98" s="2" t="n">
        <x:f>IF(COUNTA('Source'!A92:F92)=0,"",92)</x:f>
        <x:v>92</x:v>
      </x:c>
      <x:c r="B98" s="2" t="str">
        <x:f>IF(A98="","",UPPER(TRIM('Source'!A92&amp;"")))</x:f>
        <x:v>TU-0091</x:v>
      </x:c>
      <x:c r="C98" s="13" t="n">
        <x:f>IF(OR(A98="",ISBLANK('Source'!B92)),"",'Source'!B92)</x:f>
        <x:v>46314</x:v>
      </x:c>
      <x:c r="D98" s="2" t="str">
        <x:f>IF(A98="","",UPPER(TRIM('Source'!C92&amp;"")))</x:f>
        <x:v>SUPPORT</x:v>
      </x:c>
      <x:c r="E98" s="15" t="n">
        <x:f>IF(OR(A98="",ISBLANK('Source'!D92)),"",'Source'!D92)</x:f>
        <x:v>0.5</x:v>
      </x:c>
      <x:c r="F98" s="15" t="n">
        <x:f>IF(OR(A98="",ISBLANK('Source'!E92)),"",'Source'!E92)</x:f>
        <x:v>17</x:v>
      </x:c>
      <x:c r="G98" s="15" t="n">
        <x:f>IF(OR(A98="",ISBLANK('Source'!F92)),"",'Source'!F92)</x:f>
        <x:v>24</x:v>
      </x:c>
      <x:c r="H98" s="2" t="n">
        <x:f>IF(A98="","",COUNTIFS($B$8:$B$213,B98))</x:f>
        <x:v>1</x:v>
      </x:c>
      <x:c r="I98" s="11" t="str">
        <x:f>IF(A98="","",IF(B98="","Missing ID; ","")&amp;IF(AND(B98&lt;&gt;"",H98&gt;1),"Duplicate ID; ","")&amp;IF(ISNUMBER(C98),IF(OR(C98&lt;'Report'!$C$5,C98&gt;'Report'!$F$5),"Outside reporting period; ",""),"Invalid date; ")&amp;IF(COUNTIFS('Guide'!$B$24:$B$26,D98)=0,"Unknown team; ","")&amp;IF(ISNUMBER(E98),IF(E98&lt;0,"Negative effort; ",""),"Missing/non-numeric effort; ")&amp;IF(ISNUMBER(F98),IF(F98&lt;0,"Negative resolution; ",""),"Missing/non-numeric resolution; ")&amp;IF(ISNUMBER(G98),IF(G98&lt;=0,"Invalid SLA target; ",""),"Missing/non-numeric SLA target; "))</x:f>
      </x:c>
      <x:c r="J98" s="2" t="str">
        <x:f>IF(A98="","",IF(I98="","Included","Review"))</x:f>
        <x:v>Included</x:v>
      </x:c>
      <x:c r="K98" s="2" t="n">
        <x:f>IF(J98="Included",IF(F98&lt;=G98,1,0),"")</x:f>
        <x:v>1</x:v>
      </x:c>
      <x:c r="L98" s="13" t="n">
        <x:f>IF(J98="Included",C98-WEEKDAY(C98,2)+1,"")</x:f>
        <x:v>46314</x:v>
      </x:c>
      <x:c r="M98" s="15" t="n">
        <x:f>IF(J98="Included",E98,0)</x:f>
        <x:v>0.5</x:v>
      </x:c>
      <x:c r="N98" s="15" t="n">
        <x:f>IF(J98="Included",F98,0)</x:f>
        <x:v>17</x:v>
      </x:c>
    </x:row>
    <x:row r="99" ht="32" customHeight="1">
      <x:c r="A99" s="2" t="n">
        <x:f>IF(COUNTA('Source'!A93:F93)=0,"",93)</x:f>
        <x:v>93</x:v>
      </x:c>
      <x:c r="B99" s="2" t="str">
        <x:f>IF(A99="","",UPPER(TRIM('Source'!A93&amp;"")))</x:f>
        <x:v>TU-0092</x:v>
      </x:c>
      <x:c r="C99" s="13" t="n">
        <x:f>IF(OR(A99="",ISBLANK('Source'!B93)),"",'Source'!B93)</x:f>
        <x:v>46315</x:v>
      </x:c>
      <x:c r="D99" s="2" t="str">
        <x:f>IF(A99="","",UPPER(TRIM('Source'!C93&amp;"")))</x:f>
        <x:v>LOGISTICS</x:v>
      </x:c>
      <x:c r="E99" s="15" t="n">
        <x:f>IF(OR(A99="",ISBLANK('Source'!D93)),"",'Source'!D93)</x:f>
        <x:v>0.75</x:v>
      </x:c>
      <x:c r="F99" s="15" t="n">
        <x:f>IF(OR(A99="",ISBLANK('Source'!E93)),"",'Source'!E93)</x:f>
        <x:v>24</x:v>
      </x:c>
      <x:c r="G99" s="15" t="n">
        <x:f>IF(OR(A99="",ISBLANK('Source'!F93)),"",'Source'!F93)</x:f>
        <x:v>48</x:v>
      </x:c>
      <x:c r="H99" s="2" t="n">
        <x:f>IF(A99="","",COUNTIFS($B$8:$B$213,B99))</x:f>
        <x:v>1</x:v>
      </x:c>
      <x:c r="I99" s="11" t="str">
        <x:f>IF(A99="","",IF(B99="","Missing ID; ","")&amp;IF(AND(B99&lt;&gt;"",H99&gt;1),"Duplicate ID; ","")&amp;IF(ISNUMBER(C99),IF(OR(C99&lt;'Report'!$C$5,C99&gt;'Report'!$F$5),"Outside reporting period; ",""),"Invalid date; ")&amp;IF(COUNTIFS('Guide'!$B$24:$B$26,D99)=0,"Unknown team; ","")&amp;IF(ISNUMBER(E99),IF(E99&lt;0,"Negative effort; ",""),"Missing/non-numeric effort; ")&amp;IF(ISNUMBER(F99),IF(F99&lt;0,"Negative resolution; ",""),"Missing/non-numeric resolution; ")&amp;IF(ISNUMBER(G99),IF(G99&lt;=0,"Invalid SLA target; ",""),"Missing/non-numeric SLA target; "))</x:f>
      </x:c>
      <x:c r="J99" s="2" t="str">
        <x:f>IF(A99="","",IF(I99="","Included","Review"))</x:f>
        <x:v>Included</x:v>
      </x:c>
      <x:c r="K99" s="2" t="n">
        <x:f>IF(J99="Included",IF(F99&lt;=G99,1,0),"")</x:f>
        <x:v>1</x:v>
      </x:c>
      <x:c r="L99" s="13" t="n">
        <x:f>IF(J99="Included",C99-WEEKDAY(C99,2)+1,"")</x:f>
        <x:v>46314</x:v>
      </x:c>
      <x:c r="M99" s="15" t="n">
        <x:f>IF(J99="Included",E99,0)</x:f>
        <x:v>0.75</x:v>
      </x:c>
      <x:c r="N99" s="15" t="n">
        <x:f>IF(J99="Included",F99,0)</x:f>
        <x:v>24</x:v>
      </x:c>
    </x:row>
    <x:row r="100" ht="32" customHeight="1">
      <x:c r="A100" s="2" t="n">
        <x:f>IF(COUNTA('Source'!A94:F94)=0,"",94)</x:f>
        <x:v>94</x:v>
      </x:c>
      <x:c r="B100" s="2" t="str">
        <x:f>IF(A100="","",UPPER(TRIM('Source'!A94&amp;"")))</x:f>
        <x:v>TU-0093</x:v>
      </x:c>
      <x:c r="C100" s="13" t="n">
        <x:f>IF(OR(A100="",ISBLANK('Source'!B94)),"",'Source'!B94)</x:f>
        <x:v>46316</x:v>
      </x:c>
      <x:c r="D100" s="2" t="str">
        <x:f>IF(A100="","",UPPER(TRIM('Source'!C94&amp;"")))</x:f>
        <x:v>FIELD</x:v>
      </x:c>
      <x:c r="E100" s="15" t="n">
        <x:f>IF(OR(A100="",ISBLANK('Source'!D94)),"",'Source'!D94)</x:f>
        <x:v>1</x:v>
      </x:c>
      <x:c r="F100" s="15" t="n">
        <x:f>IF(OR(A100="",ISBLANK('Source'!E94)),"",'Source'!E94)</x:f>
        <x:v>31</x:v>
      </x:c>
      <x:c r="G100" s="15" t="n">
        <x:f>IF(OR(A100="",ISBLANK('Source'!F94)),"",'Source'!F94)</x:f>
        <x:v>48</x:v>
      </x:c>
      <x:c r="H100" s="2" t="n">
        <x:f>IF(A100="","",COUNTIFS($B$8:$B$213,B100))</x:f>
        <x:v>1</x:v>
      </x:c>
      <x:c r="I100" s="11" t="str">
        <x:f>IF(A100="","",IF(B100="","Missing ID; ","")&amp;IF(AND(B100&lt;&gt;"",H100&gt;1),"Duplicate ID; ","")&amp;IF(ISNUMBER(C100),IF(OR(C100&lt;'Report'!$C$5,C100&gt;'Report'!$F$5),"Outside reporting period; ",""),"Invalid date; ")&amp;IF(COUNTIFS('Guide'!$B$24:$B$26,D100)=0,"Unknown team; ","")&amp;IF(ISNUMBER(E100),IF(E100&lt;0,"Negative effort; ",""),"Missing/non-numeric effort; ")&amp;IF(ISNUMBER(F100),IF(F100&lt;0,"Negative resolution; ",""),"Missing/non-numeric resolution; ")&amp;IF(ISNUMBER(G100),IF(G100&lt;=0,"Invalid SLA target; ",""),"Missing/non-numeric SLA target; "))</x:f>
      </x:c>
      <x:c r="J100" s="2" t="str">
        <x:f>IF(A100="","",IF(I100="","Included","Review"))</x:f>
        <x:v>Included</x:v>
      </x:c>
      <x:c r="K100" s="2" t="n">
        <x:f>IF(J100="Included",IF(F100&lt;=G100,1,0),"")</x:f>
        <x:v>1</x:v>
      </x:c>
      <x:c r="L100" s="13" t="n">
        <x:f>IF(J100="Included",C100-WEEKDAY(C100,2)+1,"")</x:f>
        <x:v>46314</x:v>
      </x:c>
      <x:c r="M100" s="15" t="n">
        <x:f>IF(J100="Included",E100,0)</x:f>
        <x:v>1</x:v>
      </x:c>
      <x:c r="N100" s="15" t="n">
        <x:f>IF(J100="Included",F100,0)</x:f>
        <x:v>31</x:v>
      </x:c>
    </x:row>
    <x:row r="101" ht="32" customHeight="1">
      <x:c r="A101" s="2" t="n">
        <x:f>IF(COUNTA('Source'!A95:F95)=0,"",95)</x:f>
        <x:v>95</x:v>
      </x:c>
      <x:c r="B101" s="2" t="str">
        <x:f>IF(A101="","",UPPER(TRIM('Source'!A95&amp;"")))</x:f>
        <x:v>TU-0094</x:v>
      </x:c>
      <x:c r="C101" s="13" t="n">
        <x:f>IF(OR(A101="",ISBLANK('Source'!B95)),"",'Source'!B95)</x:f>
        <x:v>46317</x:v>
      </x:c>
      <x:c r="D101" s="2" t="str">
        <x:f>IF(A101="","",UPPER(TRIM('Source'!C95&amp;"")))</x:f>
        <x:v>SUPPORT</x:v>
      </x:c>
      <x:c r="E101" s="15" t="n">
        <x:f>IF(OR(A101="",ISBLANK('Source'!D95)),"",'Source'!D95)</x:f>
        <x:v>1.25</x:v>
      </x:c>
      <x:c r="F101" s="15" t="n">
        <x:f>IF(OR(A101="",ISBLANK('Source'!E95)),"",'Source'!E95)</x:f>
        <x:v>38</x:v>
      </x:c>
      <x:c r="G101" s="15" t="n">
        <x:f>IF(OR(A101="",ISBLANK('Source'!F95)),"",'Source'!F95)</x:f>
        <x:v>24</x:v>
      </x:c>
      <x:c r="H101" s="2" t="n">
        <x:f>IF(A101="","",COUNTIFS($B$8:$B$213,B101))</x:f>
        <x:v>1</x:v>
      </x:c>
      <x:c r="I101" s="11" t="str">
        <x:f>IF(A101="","",IF(B101="","Missing ID; ","")&amp;IF(AND(B101&lt;&gt;"",H101&gt;1),"Duplicate ID; ","")&amp;IF(ISNUMBER(C101),IF(OR(C101&lt;'Report'!$C$5,C101&gt;'Report'!$F$5),"Outside reporting period; ",""),"Invalid date; ")&amp;IF(COUNTIFS('Guide'!$B$24:$B$26,D101)=0,"Unknown team; ","")&amp;IF(ISNUMBER(E101),IF(E101&lt;0,"Negative effort; ",""),"Missing/non-numeric effort; ")&amp;IF(ISNUMBER(F101),IF(F101&lt;0,"Negative resolution; ",""),"Missing/non-numeric resolution; ")&amp;IF(ISNUMBER(G101),IF(G101&lt;=0,"Invalid SLA target; ",""),"Missing/non-numeric SLA target; "))</x:f>
      </x:c>
      <x:c r="J101" s="2" t="str">
        <x:f>IF(A101="","",IF(I101="","Included","Review"))</x:f>
        <x:v>Included</x:v>
      </x:c>
      <x:c r="K101" s="2" t="n">
        <x:f>IF(J101="Included",IF(F101&lt;=G101,1,0),"")</x:f>
        <x:v>0</x:v>
      </x:c>
      <x:c r="L101" s="13" t="n">
        <x:f>IF(J101="Included",C101-WEEKDAY(C101,2)+1,"")</x:f>
        <x:v>46314</x:v>
      </x:c>
      <x:c r="M101" s="15" t="n">
        <x:f>IF(J101="Included",E101,0)</x:f>
        <x:v>1.25</x:v>
      </x:c>
      <x:c r="N101" s="15" t="n">
        <x:f>IF(J101="Included",F101,0)</x:f>
        <x:v>38</x:v>
      </x:c>
    </x:row>
    <x:row r="102" ht="32" customHeight="1">
      <x:c r="A102" s="2" t="n">
        <x:f>IF(COUNTA('Source'!A96:F96)=0,"",96)</x:f>
        <x:v>96</x:v>
      </x:c>
      <x:c r="B102" s="2" t="str">
        <x:f>IF(A102="","",UPPER(TRIM('Source'!A96&amp;"")))</x:f>
        <x:v>TU-0095</x:v>
      </x:c>
      <x:c r="C102" s="13" t="n">
        <x:f>IF(OR(A102="",ISBLANK('Source'!B96)),"",'Source'!B96)</x:f>
        <x:v>46318</x:v>
      </x:c>
      <x:c r="D102" s="2" t="str">
        <x:f>IF(A102="","",UPPER(TRIM('Source'!C96&amp;"")))</x:f>
        <x:v>LOGISTICS</x:v>
      </x:c>
      <x:c r="E102" s="15" t="n">
        <x:f>IF(OR(A102="",ISBLANK('Source'!D96)),"",'Source'!D96)</x:f>
        <x:v>1.5</x:v>
      </x:c>
      <x:c r="F102" s="15" t="n">
        <x:f>IF(OR(A102="",ISBLANK('Source'!E96)),"",'Source'!E96)</x:f>
        <x:v>4</x:v>
      </x:c>
      <x:c r="G102" s="15" t="n">
        <x:f>IF(OR(A102="",ISBLANK('Source'!F96)),"",'Source'!F96)</x:f>
        <x:v>48</x:v>
      </x:c>
      <x:c r="H102" s="2" t="n">
        <x:f>IF(A102="","",COUNTIFS($B$8:$B$213,B102))</x:f>
        <x:v>1</x:v>
      </x:c>
      <x:c r="I102" s="11" t="str">
        <x:f>IF(A102="","",IF(B102="","Missing ID; ","")&amp;IF(AND(B102&lt;&gt;"",H102&gt;1),"Duplicate ID; ","")&amp;IF(ISNUMBER(C102),IF(OR(C102&lt;'Report'!$C$5,C102&gt;'Report'!$F$5),"Outside reporting period; ",""),"Invalid date; ")&amp;IF(COUNTIFS('Guide'!$B$24:$B$26,D102)=0,"Unknown team; ","")&amp;IF(ISNUMBER(E102),IF(E102&lt;0,"Negative effort; ",""),"Missing/non-numeric effort; ")&amp;IF(ISNUMBER(F102),IF(F102&lt;0,"Negative resolution; ",""),"Missing/non-numeric resolution; ")&amp;IF(ISNUMBER(G102),IF(G102&lt;=0,"Invalid SLA target; ",""),"Missing/non-numeric SLA target; "))</x:f>
      </x:c>
      <x:c r="J102" s="2" t="str">
        <x:f>IF(A102="","",IF(I102="","Included","Review"))</x:f>
        <x:v>Included</x:v>
      </x:c>
      <x:c r="K102" s="2" t="n">
        <x:f>IF(J102="Included",IF(F102&lt;=G102,1,0),"")</x:f>
        <x:v>1</x:v>
      </x:c>
      <x:c r="L102" s="13" t="n">
        <x:f>IF(J102="Included",C102-WEEKDAY(C102,2)+1,"")</x:f>
        <x:v>46314</x:v>
      </x:c>
      <x:c r="M102" s="15" t="n">
        <x:f>IF(J102="Included",E102,0)</x:f>
        <x:v>1.5</x:v>
      </x:c>
      <x:c r="N102" s="15" t="n">
        <x:f>IF(J102="Included",F102,0)</x:f>
        <x:v>4</x:v>
      </x:c>
    </x:row>
    <x:row r="103" ht="32" customHeight="1">
      <x:c r="A103" s="2" t="n">
        <x:f>IF(COUNTA('Source'!A97:F97)=0,"",97)</x:f>
        <x:v>97</x:v>
      </x:c>
      <x:c r="B103" s="2" t="str">
        <x:f>IF(A103="","",UPPER(TRIM('Source'!A97&amp;"")))</x:f>
        <x:v>TU-0096</x:v>
      </x:c>
      <x:c r="C103" s="13" t="n">
        <x:f>IF(OR(A103="",ISBLANK('Source'!B97)),"",'Source'!B97)</x:f>
        <x:v>46314</x:v>
      </x:c>
      <x:c r="D103" s="2" t="str">
        <x:f>IF(A103="","",UPPER(TRIM('Source'!C97&amp;"")))</x:f>
        <x:v>FIELD</x:v>
      </x:c>
      <x:c r="E103" s="15" t="n">
        <x:f>IF(OR(A103="",ISBLANK('Source'!D97)),"",'Source'!D97)</x:f>
        <x:v>1.75</x:v>
      </x:c>
      <x:c r="F103" s="15" t="n">
        <x:f>IF(OR(A103="",ISBLANK('Source'!E97)),"",'Source'!E97)</x:f>
        <x:v>11</x:v>
      </x:c>
      <x:c r="G103" s="15" t="n">
        <x:f>IF(OR(A103="",ISBLANK('Source'!F97)),"",'Source'!F97)</x:f>
        <x:v>48</x:v>
      </x:c>
      <x:c r="H103" s="2" t="n">
        <x:f>IF(A103="","",COUNTIFS($B$8:$B$213,B103))</x:f>
        <x:v>1</x:v>
      </x:c>
      <x:c r="I103" s="11" t="str">
        <x:f>IF(A103="","",IF(B103="","Missing ID; ","")&amp;IF(AND(B103&lt;&gt;"",H103&gt;1),"Duplicate ID; ","")&amp;IF(ISNUMBER(C103),IF(OR(C103&lt;'Report'!$C$5,C103&gt;'Report'!$F$5),"Outside reporting period; ",""),"Invalid date; ")&amp;IF(COUNTIFS('Guide'!$B$24:$B$26,D103)=0,"Unknown team; ","")&amp;IF(ISNUMBER(E103),IF(E103&lt;0,"Negative effort; ",""),"Missing/non-numeric effort; ")&amp;IF(ISNUMBER(F103),IF(F103&lt;0,"Negative resolution; ",""),"Missing/non-numeric resolution; ")&amp;IF(ISNUMBER(G103),IF(G103&lt;=0,"Invalid SLA target; ",""),"Missing/non-numeric SLA target; "))</x:f>
      </x:c>
      <x:c r="J103" s="2" t="str">
        <x:f>IF(A103="","",IF(I103="","Included","Review"))</x:f>
        <x:v>Included</x:v>
      </x:c>
      <x:c r="K103" s="2" t="n">
        <x:f>IF(J103="Included",IF(F103&lt;=G103,1,0),"")</x:f>
        <x:v>1</x:v>
      </x:c>
      <x:c r="L103" s="13" t="n">
        <x:f>IF(J103="Included",C103-WEEKDAY(C103,2)+1,"")</x:f>
        <x:v>46314</x:v>
      </x:c>
      <x:c r="M103" s="15" t="n">
        <x:f>IF(J103="Included",E103,0)</x:f>
        <x:v>1.75</x:v>
      </x:c>
      <x:c r="N103" s="15" t="n">
        <x:f>IF(J103="Included",F103,0)</x:f>
        <x:v>11</x:v>
      </x:c>
    </x:row>
    <x:row r="104" ht="32" customHeight="1">
      <x:c r="A104" s="2" t="n">
        <x:f>IF(COUNTA('Source'!A98:F98)=0,"",98)</x:f>
        <x:v>98</x:v>
      </x:c>
      <x:c r="B104" s="2" t="str">
        <x:f>IF(A104="","",UPPER(TRIM('Source'!A98&amp;"")))</x:f>
        <x:v>TU-0041</x:v>
      </x:c>
      <x:c r="C104" s="13" t="n">
        <x:f>IF(OR(A104="",ISBLANK('Source'!B98)),"",'Source'!B98)</x:f>
        <x:v>46300</x:v>
      </x:c>
      <x:c r="D104" s="2" t="str">
        <x:f>IF(A104="","",UPPER(TRIM('Source'!C98&amp;"")))</x:f>
        <x:v>LOGISTICS</x:v>
      </x:c>
      <x:c r="E104" s="15" t="n">
        <x:f>IF(OR(A104="",ISBLANK('Source'!D98)),"",'Source'!D98)</x:f>
        <x:v>1.5</x:v>
      </x:c>
      <x:c r="F104" s="15" t="n">
        <x:f>IF(OR(A104="",ISBLANK('Source'!E98)),"",'Source'!E98)</x:f>
        <x:v>36</x:v>
      </x:c>
      <x:c r="G104" s="15" t="n">
        <x:f>IF(OR(A104="",ISBLANK('Source'!F98)),"",'Source'!F98)</x:f>
        <x:v>48</x:v>
      </x:c>
      <x:c r="H104" s="2" t="n">
        <x:f>IF(A104="","",COUNTIFS($B$8:$B$213,B104))</x:f>
        <x:v>2</x:v>
      </x:c>
      <x:c r="I104" s="11" t="str">
        <x:f>IF(A104="","",IF(B104="","Missing ID; ","")&amp;IF(AND(B104&lt;&gt;"",H104&gt;1),"Duplicate ID; ","")&amp;IF(ISNUMBER(C104),IF(OR(C104&lt;'Report'!$C$5,C104&gt;'Report'!$F$5),"Outside reporting period; ",""),"Invalid date; ")&amp;IF(COUNTIFS('Guide'!$B$24:$B$26,D104)=0,"Unknown team; ","")&amp;IF(ISNUMBER(E104),IF(E104&lt;0,"Negative effort; ",""),"Missing/non-numeric effort; ")&amp;IF(ISNUMBER(F104),IF(F104&lt;0,"Negative resolution; ",""),"Missing/non-numeric resolution; ")&amp;IF(ISNUMBER(G104),IF(G104&lt;=0,"Invalid SLA target; ",""),"Missing/non-numeric SLA target; "))</x:f>
        <x:v>Duplicate ID; </x:v>
      </x:c>
      <x:c r="J104" s="2" t="str">
        <x:f>IF(A104="","",IF(I104="","Included","Review"))</x:f>
        <x:v>Review</x:v>
      </x:c>
      <x:c r="K104" s="2" t="str">
        <x:f>IF(J104="Included",IF(F104&lt;=G104,1,0),"")</x:f>
      </x:c>
      <x:c r="L104" s="13" t="str">
        <x:f>IF(J104="Included",C104-WEEKDAY(C104,2)+1,"")</x:f>
      </x:c>
      <x:c r="M104" s="15" t="n">
        <x:f>IF(J104="Included",E104,0)</x:f>
        <x:v>0</x:v>
      </x:c>
      <x:c r="N104" s="15" t="n">
        <x:f>IF(J104="Included",F104,0)</x:f>
        <x:v>0</x:v>
      </x:c>
    </x:row>
    <x:row r="105" ht="32" customHeight="1">
      <x:c r="A105" s="2" t="str">
        <x:f>IF(COUNTA('Source'!A99:F99)=0,"",99)</x:f>
      </x:c>
      <x:c r="B105" s="2" t="str">
        <x:f>IF(A105="","",UPPER(TRIM('Source'!A99&amp;"")))</x:f>
      </x:c>
      <x:c r="C105" s="13" t="str">
        <x:f>IF(OR(A105="",ISBLANK('Source'!B99)),"",'Source'!B99)</x:f>
      </x:c>
      <x:c r="D105" s="2" t="str">
        <x:f>IF(A105="","",UPPER(TRIM('Source'!C99&amp;"")))</x:f>
      </x:c>
      <x:c r="E105" s="15" t="str">
        <x:f>IF(OR(A105="",ISBLANK('Source'!D99)),"",'Source'!D99)</x:f>
      </x:c>
      <x:c r="F105" s="15" t="str">
        <x:f>IF(OR(A105="",ISBLANK('Source'!E99)),"",'Source'!E99)</x:f>
      </x:c>
      <x:c r="G105" s="15" t="str">
        <x:f>IF(OR(A105="",ISBLANK('Source'!F99)),"",'Source'!F99)</x:f>
      </x:c>
      <x:c r="H105" s="2" t="str">
        <x:f>IF(A105="","",COUNTIFS($B$8:$B$213,B105))</x:f>
      </x:c>
      <x:c r="I105" s="11" t="str">
        <x:f>IF(A105="","",IF(B105="","Missing ID; ","")&amp;IF(AND(B105&lt;&gt;"",H105&gt;1),"Duplicate ID; ","")&amp;IF(ISNUMBER(C105),IF(OR(C105&lt;'Report'!$C$5,C105&gt;'Report'!$F$5),"Outside reporting period; ",""),"Invalid date; ")&amp;IF(COUNTIFS('Guide'!$B$24:$B$26,D105)=0,"Unknown team; ","")&amp;IF(ISNUMBER(E105),IF(E105&lt;0,"Negative effort; ",""),"Missing/non-numeric effort; ")&amp;IF(ISNUMBER(F105),IF(F105&lt;0,"Negative resolution; ",""),"Missing/non-numeric resolution; ")&amp;IF(ISNUMBER(G105),IF(G105&lt;=0,"Invalid SLA target; ",""),"Missing/non-numeric SLA target; "))</x:f>
      </x:c>
      <x:c r="J105" s="2" t="str">
        <x:f>IF(A105="","",IF(I105="","Included","Review"))</x:f>
      </x:c>
      <x:c r="K105" s="2" t="str">
        <x:f>IF(J105="Included",IF(F105&lt;=G105,1,0),"")</x:f>
      </x:c>
      <x:c r="L105" s="13" t="str">
        <x:f>IF(J105="Included",C105-WEEKDAY(C105,2)+1,"")</x:f>
      </x:c>
      <x:c r="M105" s="15" t="n">
        <x:f>IF(J105="Included",E105,0)</x:f>
        <x:v>0</x:v>
      </x:c>
      <x:c r="N105" s="15" t="n">
        <x:f>IF(J105="Included",F105,0)</x:f>
        <x:v>0</x:v>
      </x:c>
    </x:row>
    <x:row r="106" ht="32" customHeight="1">
      <x:c r="A106" s="2" t="str">
        <x:f>IF(COUNTA('Source'!A100:F100)=0,"",100)</x:f>
      </x:c>
      <x:c r="B106" s="2" t="str">
        <x:f>IF(A106="","",UPPER(TRIM('Source'!A100&amp;"")))</x:f>
      </x:c>
      <x:c r="C106" s="13" t="str">
        <x:f>IF(OR(A106="",ISBLANK('Source'!B100)),"",'Source'!B100)</x:f>
      </x:c>
      <x:c r="D106" s="2" t="str">
        <x:f>IF(A106="","",UPPER(TRIM('Source'!C100&amp;"")))</x:f>
      </x:c>
      <x:c r="E106" s="15" t="str">
        <x:f>IF(OR(A106="",ISBLANK('Source'!D100)),"",'Source'!D100)</x:f>
      </x:c>
      <x:c r="F106" s="15" t="str">
        <x:f>IF(OR(A106="",ISBLANK('Source'!E100)),"",'Source'!E100)</x:f>
      </x:c>
      <x:c r="G106" s="15" t="str">
        <x:f>IF(OR(A106="",ISBLANK('Source'!F100)),"",'Source'!F100)</x:f>
      </x:c>
      <x:c r="H106" s="2" t="str">
        <x:f>IF(A106="","",COUNTIFS($B$8:$B$213,B106))</x:f>
      </x:c>
      <x:c r="I106" s="11" t="str">
        <x:f>IF(A106="","",IF(B106="","Missing ID; ","")&amp;IF(AND(B106&lt;&gt;"",H106&gt;1),"Duplicate ID; ","")&amp;IF(ISNUMBER(C106),IF(OR(C106&lt;'Report'!$C$5,C106&gt;'Report'!$F$5),"Outside reporting period; ",""),"Invalid date; ")&amp;IF(COUNTIFS('Guide'!$B$24:$B$26,D106)=0,"Unknown team; ","")&amp;IF(ISNUMBER(E106),IF(E106&lt;0,"Negative effort; ",""),"Missing/non-numeric effort; ")&amp;IF(ISNUMBER(F106),IF(F106&lt;0,"Negative resolution; ",""),"Missing/non-numeric resolution; ")&amp;IF(ISNUMBER(G106),IF(G106&lt;=0,"Invalid SLA target; ",""),"Missing/non-numeric SLA target; "))</x:f>
      </x:c>
      <x:c r="J106" s="2" t="str">
        <x:f>IF(A106="","",IF(I106="","Included","Review"))</x:f>
      </x:c>
      <x:c r="K106" s="2" t="str">
        <x:f>IF(J106="Included",IF(F106&lt;=G106,1,0),"")</x:f>
      </x:c>
      <x:c r="L106" s="13" t="str">
        <x:f>IF(J106="Included",C106-WEEKDAY(C106,2)+1,"")</x:f>
      </x:c>
      <x:c r="M106" s="15" t="n">
        <x:f>IF(J106="Included",E106,0)</x:f>
        <x:v>0</x:v>
      </x:c>
      <x:c r="N106" s="15" t="n">
        <x:f>IF(J106="Included",F106,0)</x:f>
        <x:v>0</x:v>
      </x:c>
    </x:row>
    <x:row r="107" ht="32" customHeight="1">
      <x:c r="A107" s="2" t="str">
        <x:f>IF(COUNTA('Source'!A101:F101)=0,"",101)</x:f>
      </x:c>
      <x:c r="B107" s="2" t="str">
        <x:f>IF(A107="","",UPPER(TRIM('Source'!A101&amp;"")))</x:f>
      </x:c>
      <x:c r="C107" s="13" t="str">
        <x:f>IF(OR(A107="",ISBLANK('Source'!B101)),"",'Source'!B101)</x:f>
      </x:c>
      <x:c r="D107" s="2" t="str">
        <x:f>IF(A107="","",UPPER(TRIM('Source'!C101&amp;"")))</x:f>
      </x:c>
      <x:c r="E107" s="15" t="str">
        <x:f>IF(OR(A107="",ISBLANK('Source'!D101)),"",'Source'!D101)</x:f>
      </x:c>
      <x:c r="F107" s="15" t="str">
        <x:f>IF(OR(A107="",ISBLANK('Source'!E101)),"",'Source'!E101)</x:f>
      </x:c>
      <x:c r="G107" s="15" t="str">
        <x:f>IF(OR(A107="",ISBLANK('Source'!F101)),"",'Source'!F101)</x:f>
      </x:c>
      <x:c r="H107" s="2" t="str">
        <x:f>IF(A107="","",COUNTIFS($B$8:$B$213,B107))</x:f>
      </x:c>
      <x:c r="I107" s="11" t="str">
        <x:f>IF(A107="","",IF(B107="","Missing ID; ","")&amp;IF(AND(B107&lt;&gt;"",H107&gt;1),"Duplicate ID; ","")&amp;IF(ISNUMBER(C107),IF(OR(C107&lt;'Report'!$C$5,C107&gt;'Report'!$F$5),"Outside reporting period; ",""),"Invalid date; ")&amp;IF(COUNTIFS('Guide'!$B$24:$B$26,D107)=0,"Unknown team; ","")&amp;IF(ISNUMBER(E107),IF(E107&lt;0,"Negative effort; ",""),"Missing/non-numeric effort; ")&amp;IF(ISNUMBER(F107),IF(F107&lt;0,"Negative resolution; ",""),"Missing/non-numeric resolution; ")&amp;IF(ISNUMBER(G107),IF(G107&lt;=0,"Invalid SLA target; ",""),"Missing/non-numeric SLA target; "))</x:f>
      </x:c>
      <x:c r="J107" s="2" t="str">
        <x:f>IF(A107="","",IF(I107="","Included","Review"))</x:f>
      </x:c>
      <x:c r="K107" s="2" t="str">
        <x:f>IF(J107="Included",IF(F107&lt;=G107,1,0),"")</x:f>
      </x:c>
      <x:c r="L107" s="13" t="str">
        <x:f>IF(J107="Included",C107-WEEKDAY(C107,2)+1,"")</x:f>
      </x:c>
      <x:c r="M107" s="15" t="n">
        <x:f>IF(J107="Included",E107,0)</x:f>
        <x:v>0</x:v>
      </x:c>
      <x:c r="N107" s="15" t="n">
        <x:f>IF(J107="Included",F107,0)</x:f>
        <x:v>0</x:v>
      </x:c>
    </x:row>
    <x:row r="108" ht="32" customHeight="1">
      <x:c r="A108" s="2" t="str">
        <x:f>IF(COUNTA('Source'!A102:F102)=0,"",102)</x:f>
      </x:c>
      <x:c r="B108" s="2" t="str">
        <x:f>IF(A108="","",UPPER(TRIM('Source'!A102&amp;"")))</x:f>
      </x:c>
      <x:c r="C108" s="13" t="str">
        <x:f>IF(OR(A108="",ISBLANK('Source'!B102)),"",'Source'!B102)</x:f>
      </x:c>
      <x:c r="D108" s="2" t="str">
        <x:f>IF(A108="","",UPPER(TRIM('Source'!C102&amp;"")))</x:f>
      </x:c>
      <x:c r="E108" s="15" t="str">
        <x:f>IF(OR(A108="",ISBLANK('Source'!D102)),"",'Source'!D102)</x:f>
      </x:c>
      <x:c r="F108" s="15" t="str">
        <x:f>IF(OR(A108="",ISBLANK('Source'!E102)),"",'Source'!E102)</x:f>
      </x:c>
      <x:c r="G108" s="15" t="str">
        <x:f>IF(OR(A108="",ISBLANK('Source'!F102)),"",'Source'!F102)</x:f>
      </x:c>
      <x:c r="H108" s="2" t="str">
        <x:f>IF(A108="","",COUNTIFS($B$8:$B$213,B108))</x:f>
      </x:c>
      <x:c r="I108" s="11" t="str">
        <x:f>IF(A108="","",IF(B108="","Missing ID; ","")&amp;IF(AND(B108&lt;&gt;"",H108&gt;1),"Duplicate ID; ","")&amp;IF(ISNUMBER(C108),IF(OR(C108&lt;'Report'!$C$5,C108&gt;'Report'!$F$5),"Outside reporting period; ",""),"Invalid date; ")&amp;IF(COUNTIFS('Guide'!$B$24:$B$26,D108)=0,"Unknown team; ","")&amp;IF(ISNUMBER(E108),IF(E108&lt;0,"Negative effort; ",""),"Missing/non-numeric effort; ")&amp;IF(ISNUMBER(F108),IF(F108&lt;0,"Negative resolution; ",""),"Missing/non-numeric resolution; ")&amp;IF(ISNUMBER(G108),IF(G108&lt;=0,"Invalid SLA target; ",""),"Missing/non-numeric SLA target; "))</x:f>
      </x:c>
      <x:c r="J108" s="2" t="str">
        <x:f>IF(A108="","",IF(I108="","Included","Review"))</x:f>
      </x:c>
      <x:c r="K108" s="2" t="str">
        <x:f>IF(J108="Included",IF(F108&lt;=G108,1,0),"")</x:f>
      </x:c>
      <x:c r="L108" s="13" t="str">
        <x:f>IF(J108="Included",C108-WEEKDAY(C108,2)+1,"")</x:f>
      </x:c>
      <x:c r="M108" s="15" t="n">
        <x:f>IF(J108="Included",E108,0)</x:f>
        <x:v>0</x:v>
      </x:c>
      <x:c r="N108" s="15" t="n">
        <x:f>IF(J108="Included",F108,0)</x:f>
        <x:v>0</x:v>
      </x:c>
    </x:row>
    <x:row r="109" ht="32" customHeight="1">
      <x:c r="A109" s="2" t="str">
        <x:f>IF(COUNTA('Source'!A103:F103)=0,"",103)</x:f>
      </x:c>
      <x:c r="B109" s="2" t="str">
        <x:f>IF(A109="","",UPPER(TRIM('Source'!A103&amp;"")))</x:f>
      </x:c>
      <x:c r="C109" s="13" t="str">
        <x:f>IF(OR(A109="",ISBLANK('Source'!B103)),"",'Source'!B103)</x:f>
      </x:c>
      <x:c r="D109" s="2" t="str">
        <x:f>IF(A109="","",UPPER(TRIM('Source'!C103&amp;"")))</x:f>
      </x:c>
      <x:c r="E109" s="15" t="str">
        <x:f>IF(OR(A109="",ISBLANK('Source'!D103)),"",'Source'!D103)</x:f>
      </x:c>
      <x:c r="F109" s="15" t="str">
        <x:f>IF(OR(A109="",ISBLANK('Source'!E103)),"",'Source'!E103)</x:f>
      </x:c>
      <x:c r="G109" s="15" t="str">
        <x:f>IF(OR(A109="",ISBLANK('Source'!F103)),"",'Source'!F103)</x:f>
      </x:c>
      <x:c r="H109" s="2" t="str">
        <x:f>IF(A109="","",COUNTIFS($B$8:$B$213,B109))</x:f>
      </x:c>
      <x:c r="I109" s="11" t="str">
        <x:f>IF(A109="","",IF(B109="","Missing ID; ","")&amp;IF(AND(B109&lt;&gt;"",H109&gt;1),"Duplicate ID; ","")&amp;IF(ISNUMBER(C109),IF(OR(C109&lt;'Report'!$C$5,C109&gt;'Report'!$F$5),"Outside reporting period; ",""),"Invalid date; ")&amp;IF(COUNTIFS('Guide'!$B$24:$B$26,D109)=0,"Unknown team; ","")&amp;IF(ISNUMBER(E109),IF(E109&lt;0,"Negative effort; ",""),"Missing/non-numeric effort; ")&amp;IF(ISNUMBER(F109),IF(F109&lt;0,"Negative resolution; ",""),"Missing/non-numeric resolution; ")&amp;IF(ISNUMBER(G109),IF(G109&lt;=0,"Invalid SLA target; ",""),"Missing/non-numeric SLA target; "))</x:f>
      </x:c>
      <x:c r="J109" s="2" t="str">
        <x:f>IF(A109="","",IF(I109="","Included","Review"))</x:f>
      </x:c>
      <x:c r="K109" s="2" t="str">
        <x:f>IF(J109="Included",IF(F109&lt;=G109,1,0),"")</x:f>
      </x:c>
      <x:c r="L109" s="13" t="str">
        <x:f>IF(J109="Included",C109-WEEKDAY(C109,2)+1,"")</x:f>
      </x:c>
      <x:c r="M109" s="15" t="n">
        <x:f>IF(J109="Included",E109,0)</x:f>
        <x:v>0</x:v>
      </x:c>
      <x:c r="N109" s="15" t="n">
        <x:f>IF(J109="Included",F109,0)</x:f>
        <x:v>0</x:v>
      </x:c>
    </x:row>
    <x:row r="110" ht="32" customHeight="1">
      <x:c r="A110" s="2" t="str">
        <x:f>IF(COUNTA('Source'!A104:F104)=0,"",104)</x:f>
      </x:c>
      <x:c r="B110" s="2" t="str">
        <x:f>IF(A110="","",UPPER(TRIM('Source'!A104&amp;"")))</x:f>
      </x:c>
      <x:c r="C110" s="13" t="str">
        <x:f>IF(OR(A110="",ISBLANK('Source'!B104)),"",'Source'!B104)</x:f>
      </x:c>
      <x:c r="D110" s="2" t="str">
        <x:f>IF(A110="","",UPPER(TRIM('Source'!C104&amp;"")))</x:f>
      </x:c>
      <x:c r="E110" s="15" t="str">
        <x:f>IF(OR(A110="",ISBLANK('Source'!D104)),"",'Source'!D104)</x:f>
      </x:c>
      <x:c r="F110" s="15" t="str">
        <x:f>IF(OR(A110="",ISBLANK('Source'!E104)),"",'Source'!E104)</x:f>
      </x:c>
      <x:c r="G110" s="15" t="str">
        <x:f>IF(OR(A110="",ISBLANK('Source'!F104)),"",'Source'!F104)</x:f>
      </x:c>
      <x:c r="H110" s="2" t="str">
        <x:f>IF(A110="","",COUNTIFS($B$8:$B$213,B110))</x:f>
      </x:c>
      <x:c r="I110" s="11" t="str">
        <x:f>IF(A110="","",IF(B110="","Missing ID; ","")&amp;IF(AND(B110&lt;&gt;"",H110&gt;1),"Duplicate ID; ","")&amp;IF(ISNUMBER(C110),IF(OR(C110&lt;'Report'!$C$5,C110&gt;'Report'!$F$5),"Outside reporting period; ",""),"Invalid date; ")&amp;IF(COUNTIFS('Guide'!$B$24:$B$26,D110)=0,"Unknown team; ","")&amp;IF(ISNUMBER(E110),IF(E110&lt;0,"Negative effort; ",""),"Missing/non-numeric effort; ")&amp;IF(ISNUMBER(F110),IF(F110&lt;0,"Negative resolution; ",""),"Missing/non-numeric resolution; ")&amp;IF(ISNUMBER(G110),IF(G110&lt;=0,"Invalid SLA target; ",""),"Missing/non-numeric SLA target; "))</x:f>
      </x:c>
      <x:c r="J110" s="2" t="str">
        <x:f>IF(A110="","",IF(I110="","Included","Review"))</x:f>
      </x:c>
      <x:c r="K110" s="2" t="str">
        <x:f>IF(J110="Included",IF(F110&lt;=G110,1,0),"")</x:f>
      </x:c>
      <x:c r="L110" s="13" t="str">
        <x:f>IF(J110="Included",C110-WEEKDAY(C110,2)+1,"")</x:f>
      </x:c>
      <x:c r="M110" s="15" t="n">
        <x:f>IF(J110="Included",E110,0)</x:f>
        <x:v>0</x:v>
      </x:c>
      <x:c r="N110" s="15" t="n">
        <x:f>IF(J110="Included",F110,0)</x:f>
        <x:v>0</x:v>
      </x:c>
    </x:row>
    <x:row r="111" ht="32" customHeight="1">
      <x:c r="A111" s="2" t="str">
        <x:f>IF(COUNTA('Source'!A105:F105)=0,"",105)</x:f>
      </x:c>
      <x:c r="B111" s="2" t="str">
        <x:f>IF(A111="","",UPPER(TRIM('Source'!A105&amp;"")))</x:f>
      </x:c>
      <x:c r="C111" s="13" t="str">
        <x:f>IF(OR(A111="",ISBLANK('Source'!B105)),"",'Source'!B105)</x:f>
      </x:c>
      <x:c r="D111" s="2" t="str">
        <x:f>IF(A111="","",UPPER(TRIM('Source'!C105&amp;"")))</x:f>
      </x:c>
      <x:c r="E111" s="15" t="str">
        <x:f>IF(OR(A111="",ISBLANK('Source'!D105)),"",'Source'!D105)</x:f>
      </x:c>
      <x:c r="F111" s="15" t="str">
        <x:f>IF(OR(A111="",ISBLANK('Source'!E105)),"",'Source'!E105)</x:f>
      </x:c>
      <x:c r="G111" s="15" t="str">
        <x:f>IF(OR(A111="",ISBLANK('Source'!F105)),"",'Source'!F105)</x:f>
      </x:c>
      <x:c r="H111" s="2" t="str">
        <x:f>IF(A111="","",COUNTIFS($B$8:$B$213,B111))</x:f>
      </x:c>
      <x:c r="I111" s="11" t="str">
        <x:f>IF(A111="","",IF(B111="","Missing ID; ","")&amp;IF(AND(B111&lt;&gt;"",H111&gt;1),"Duplicate ID; ","")&amp;IF(ISNUMBER(C111),IF(OR(C111&lt;'Report'!$C$5,C111&gt;'Report'!$F$5),"Outside reporting period; ",""),"Invalid date; ")&amp;IF(COUNTIFS('Guide'!$B$24:$B$26,D111)=0,"Unknown team; ","")&amp;IF(ISNUMBER(E111),IF(E111&lt;0,"Negative effort; ",""),"Missing/non-numeric effort; ")&amp;IF(ISNUMBER(F111),IF(F111&lt;0,"Negative resolution; ",""),"Missing/non-numeric resolution; ")&amp;IF(ISNUMBER(G111),IF(G111&lt;=0,"Invalid SLA target; ",""),"Missing/non-numeric SLA target; "))</x:f>
      </x:c>
      <x:c r="J111" s="2" t="str">
        <x:f>IF(A111="","",IF(I111="","Included","Review"))</x:f>
      </x:c>
      <x:c r="K111" s="2" t="str">
        <x:f>IF(J111="Included",IF(F111&lt;=G111,1,0),"")</x:f>
      </x:c>
      <x:c r="L111" s="13" t="str">
        <x:f>IF(J111="Included",C111-WEEKDAY(C111,2)+1,"")</x:f>
      </x:c>
      <x:c r="M111" s="15" t="n">
        <x:f>IF(J111="Included",E111,0)</x:f>
        <x:v>0</x:v>
      </x:c>
      <x:c r="N111" s="15" t="n">
        <x:f>IF(J111="Included",F111,0)</x:f>
        <x:v>0</x:v>
      </x:c>
    </x:row>
    <x:row r="112" ht="32" customHeight="1">
      <x:c r="A112" s="2" t="str">
        <x:f>IF(COUNTA('Source'!A106:F106)=0,"",106)</x:f>
      </x:c>
      <x:c r="B112" s="2" t="str">
        <x:f>IF(A112="","",UPPER(TRIM('Source'!A106&amp;"")))</x:f>
      </x:c>
      <x:c r="C112" s="13" t="str">
        <x:f>IF(OR(A112="",ISBLANK('Source'!B106)),"",'Source'!B106)</x:f>
      </x:c>
      <x:c r="D112" s="2" t="str">
        <x:f>IF(A112="","",UPPER(TRIM('Source'!C106&amp;"")))</x:f>
      </x:c>
      <x:c r="E112" s="15" t="str">
        <x:f>IF(OR(A112="",ISBLANK('Source'!D106)),"",'Source'!D106)</x:f>
      </x:c>
      <x:c r="F112" s="15" t="str">
        <x:f>IF(OR(A112="",ISBLANK('Source'!E106)),"",'Source'!E106)</x:f>
      </x:c>
      <x:c r="G112" s="15" t="str">
        <x:f>IF(OR(A112="",ISBLANK('Source'!F106)),"",'Source'!F106)</x:f>
      </x:c>
      <x:c r="H112" s="2" t="str">
        <x:f>IF(A112="","",COUNTIFS($B$8:$B$213,B112))</x:f>
      </x:c>
      <x:c r="I112" s="11" t="str">
        <x:f>IF(A112="","",IF(B112="","Missing ID; ","")&amp;IF(AND(B112&lt;&gt;"",H112&gt;1),"Duplicate ID; ","")&amp;IF(ISNUMBER(C112),IF(OR(C112&lt;'Report'!$C$5,C112&gt;'Report'!$F$5),"Outside reporting period; ",""),"Invalid date; ")&amp;IF(COUNTIFS('Guide'!$B$24:$B$26,D112)=0,"Unknown team; ","")&amp;IF(ISNUMBER(E112),IF(E112&lt;0,"Negative effort; ",""),"Missing/non-numeric effort; ")&amp;IF(ISNUMBER(F112),IF(F112&lt;0,"Negative resolution; ",""),"Missing/non-numeric resolution; ")&amp;IF(ISNUMBER(G112),IF(G112&lt;=0,"Invalid SLA target; ",""),"Missing/non-numeric SLA target; "))</x:f>
      </x:c>
      <x:c r="J112" s="2" t="str">
        <x:f>IF(A112="","",IF(I112="","Included","Review"))</x:f>
      </x:c>
      <x:c r="K112" s="2" t="str">
        <x:f>IF(J112="Included",IF(F112&lt;=G112,1,0),"")</x:f>
      </x:c>
      <x:c r="L112" s="13" t="str">
        <x:f>IF(J112="Included",C112-WEEKDAY(C112,2)+1,"")</x:f>
      </x:c>
      <x:c r="M112" s="15" t="n">
        <x:f>IF(J112="Included",E112,0)</x:f>
        <x:v>0</x:v>
      </x:c>
      <x:c r="N112" s="15" t="n">
        <x:f>IF(J112="Included",F112,0)</x:f>
        <x:v>0</x:v>
      </x:c>
    </x:row>
    <x:row r="113" ht="32" customHeight="1">
      <x:c r="A113" s="2" t="str">
        <x:f>IF(COUNTA('Source'!A107:F107)=0,"",107)</x:f>
      </x:c>
      <x:c r="B113" s="2" t="str">
        <x:f>IF(A113="","",UPPER(TRIM('Source'!A107&amp;"")))</x:f>
      </x:c>
      <x:c r="C113" s="13" t="str">
        <x:f>IF(OR(A113="",ISBLANK('Source'!B107)),"",'Source'!B107)</x:f>
      </x:c>
      <x:c r="D113" s="2" t="str">
        <x:f>IF(A113="","",UPPER(TRIM('Source'!C107&amp;"")))</x:f>
      </x:c>
      <x:c r="E113" s="15" t="str">
        <x:f>IF(OR(A113="",ISBLANK('Source'!D107)),"",'Source'!D107)</x:f>
      </x:c>
      <x:c r="F113" s="15" t="str">
        <x:f>IF(OR(A113="",ISBLANK('Source'!E107)),"",'Source'!E107)</x:f>
      </x:c>
      <x:c r="G113" s="15" t="str">
        <x:f>IF(OR(A113="",ISBLANK('Source'!F107)),"",'Source'!F107)</x:f>
      </x:c>
      <x:c r="H113" s="2" t="str">
        <x:f>IF(A113="","",COUNTIFS($B$8:$B$213,B113))</x:f>
      </x:c>
      <x:c r="I113" s="11" t="str">
        <x:f>IF(A113="","",IF(B113="","Missing ID; ","")&amp;IF(AND(B113&lt;&gt;"",H113&gt;1),"Duplicate ID; ","")&amp;IF(ISNUMBER(C113),IF(OR(C113&lt;'Report'!$C$5,C113&gt;'Report'!$F$5),"Outside reporting period; ",""),"Invalid date; ")&amp;IF(COUNTIFS('Guide'!$B$24:$B$26,D113)=0,"Unknown team; ","")&amp;IF(ISNUMBER(E113),IF(E113&lt;0,"Negative effort; ",""),"Missing/non-numeric effort; ")&amp;IF(ISNUMBER(F113),IF(F113&lt;0,"Negative resolution; ",""),"Missing/non-numeric resolution; ")&amp;IF(ISNUMBER(G113),IF(G113&lt;=0,"Invalid SLA target; ",""),"Missing/non-numeric SLA target; "))</x:f>
      </x:c>
      <x:c r="J113" s="2" t="str">
        <x:f>IF(A113="","",IF(I113="","Included","Review"))</x:f>
      </x:c>
      <x:c r="K113" s="2" t="str">
        <x:f>IF(J113="Included",IF(F113&lt;=G113,1,0),"")</x:f>
      </x:c>
      <x:c r="L113" s="13" t="str">
        <x:f>IF(J113="Included",C113-WEEKDAY(C113,2)+1,"")</x:f>
      </x:c>
      <x:c r="M113" s="15" t="n">
        <x:f>IF(J113="Included",E113,0)</x:f>
        <x:v>0</x:v>
      </x:c>
      <x:c r="N113" s="15" t="n">
        <x:f>IF(J113="Included",F113,0)</x:f>
        <x:v>0</x:v>
      </x:c>
    </x:row>
    <x:row r="114" ht="32" customHeight="1">
      <x:c r="A114" s="2" t="str">
        <x:f>IF(COUNTA('Source'!A108:F108)=0,"",108)</x:f>
      </x:c>
      <x:c r="B114" s="2" t="str">
        <x:f>IF(A114="","",UPPER(TRIM('Source'!A108&amp;"")))</x:f>
      </x:c>
      <x:c r="C114" s="13" t="str">
        <x:f>IF(OR(A114="",ISBLANK('Source'!B108)),"",'Source'!B108)</x:f>
      </x:c>
      <x:c r="D114" s="2" t="str">
        <x:f>IF(A114="","",UPPER(TRIM('Source'!C108&amp;"")))</x:f>
      </x:c>
      <x:c r="E114" s="15" t="str">
        <x:f>IF(OR(A114="",ISBLANK('Source'!D108)),"",'Source'!D108)</x:f>
      </x:c>
      <x:c r="F114" s="15" t="str">
        <x:f>IF(OR(A114="",ISBLANK('Source'!E108)),"",'Source'!E108)</x:f>
      </x:c>
      <x:c r="G114" s="15" t="str">
        <x:f>IF(OR(A114="",ISBLANK('Source'!F108)),"",'Source'!F108)</x:f>
      </x:c>
      <x:c r="H114" s="2" t="str">
        <x:f>IF(A114="","",COUNTIFS($B$8:$B$213,B114))</x:f>
      </x:c>
      <x:c r="I114" s="11" t="str">
        <x:f>IF(A114="","",IF(B114="","Missing ID; ","")&amp;IF(AND(B114&lt;&gt;"",H114&gt;1),"Duplicate ID; ","")&amp;IF(ISNUMBER(C114),IF(OR(C114&lt;'Report'!$C$5,C114&gt;'Report'!$F$5),"Outside reporting period; ",""),"Invalid date; ")&amp;IF(COUNTIFS('Guide'!$B$24:$B$26,D114)=0,"Unknown team; ","")&amp;IF(ISNUMBER(E114),IF(E114&lt;0,"Negative effort; ",""),"Missing/non-numeric effort; ")&amp;IF(ISNUMBER(F114),IF(F114&lt;0,"Negative resolution; ",""),"Missing/non-numeric resolution; ")&amp;IF(ISNUMBER(G114),IF(G114&lt;=0,"Invalid SLA target; ",""),"Missing/non-numeric SLA target; "))</x:f>
      </x:c>
      <x:c r="J114" s="2" t="str">
        <x:f>IF(A114="","",IF(I114="","Included","Review"))</x:f>
      </x:c>
      <x:c r="K114" s="2" t="str">
        <x:f>IF(J114="Included",IF(F114&lt;=G114,1,0),"")</x:f>
      </x:c>
      <x:c r="L114" s="13" t="str">
        <x:f>IF(J114="Included",C114-WEEKDAY(C114,2)+1,"")</x:f>
      </x:c>
      <x:c r="M114" s="15" t="n">
        <x:f>IF(J114="Included",E114,0)</x:f>
        <x:v>0</x:v>
      </x:c>
      <x:c r="N114" s="15" t="n">
        <x:f>IF(J114="Included",F114,0)</x:f>
        <x:v>0</x:v>
      </x:c>
    </x:row>
    <x:row r="115" ht="32" customHeight="1">
      <x:c r="A115" s="2" t="str">
        <x:f>IF(COUNTA('Source'!A109:F109)=0,"",109)</x:f>
      </x:c>
      <x:c r="B115" s="2" t="str">
        <x:f>IF(A115="","",UPPER(TRIM('Source'!A109&amp;"")))</x:f>
      </x:c>
      <x:c r="C115" s="13" t="str">
        <x:f>IF(OR(A115="",ISBLANK('Source'!B109)),"",'Source'!B109)</x:f>
      </x:c>
      <x:c r="D115" s="2" t="str">
        <x:f>IF(A115="","",UPPER(TRIM('Source'!C109&amp;"")))</x:f>
      </x:c>
      <x:c r="E115" s="15" t="str">
        <x:f>IF(OR(A115="",ISBLANK('Source'!D109)),"",'Source'!D109)</x:f>
      </x:c>
      <x:c r="F115" s="15" t="str">
        <x:f>IF(OR(A115="",ISBLANK('Source'!E109)),"",'Source'!E109)</x:f>
      </x:c>
      <x:c r="G115" s="15" t="str">
        <x:f>IF(OR(A115="",ISBLANK('Source'!F109)),"",'Source'!F109)</x:f>
      </x:c>
      <x:c r="H115" s="2" t="str">
        <x:f>IF(A115="","",COUNTIFS($B$8:$B$213,B115))</x:f>
      </x:c>
      <x:c r="I115" s="11" t="str">
        <x:f>IF(A115="","",IF(B115="","Missing ID; ","")&amp;IF(AND(B115&lt;&gt;"",H115&gt;1),"Duplicate ID; ","")&amp;IF(ISNUMBER(C115),IF(OR(C115&lt;'Report'!$C$5,C115&gt;'Report'!$F$5),"Outside reporting period; ",""),"Invalid date; ")&amp;IF(COUNTIFS('Guide'!$B$24:$B$26,D115)=0,"Unknown team; ","")&amp;IF(ISNUMBER(E115),IF(E115&lt;0,"Negative effort; ",""),"Missing/non-numeric effort; ")&amp;IF(ISNUMBER(F115),IF(F115&lt;0,"Negative resolution; ",""),"Missing/non-numeric resolution; ")&amp;IF(ISNUMBER(G115),IF(G115&lt;=0,"Invalid SLA target; ",""),"Missing/non-numeric SLA target; "))</x:f>
      </x:c>
      <x:c r="J115" s="2" t="str">
        <x:f>IF(A115="","",IF(I115="","Included","Review"))</x:f>
      </x:c>
      <x:c r="K115" s="2" t="str">
        <x:f>IF(J115="Included",IF(F115&lt;=G115,1,0),"")</x:f>
      </x:c>
      <x:c r="L115" s="13" t="str">
        <x:f>IF(J115="Included",C115-WEEKDAY(C115,2)+1,"")</x:f>
      </x:c>
      <x:c r="M115" s="15" t="n">
        <x:f>IF(J115="Included",E115,0)</x:f>
        <x:v>0</x:v>
      </x:c>
      <x:c r="N115" s="15" t="n">
        <x:f>IF(J115="Included",F115,0)</x:f>
        <x:v>0</x:v>
      </x:c>
    </x:row>
    <x:row r="116" ht="32" customHeight="1">
      <x:c r="A116" s="2" t="str">
        <x:f>IF(COUNTA('Source'!A110:F110)=0,"",110)</x:f>
      </x:c>
      <x:c r="B116" s="2" t="str">
        <x:f>IF(A116="","",UPPER(TRIM('Source'!A110&amp;"")))</x:f>
      </x:c>
      <x:c r="C116" s="13" t="str">
        <x:f>IF(OR(A116="",ISBLANK('Source'!B110)),"",'Source'!B110)</x:f>
      </x:c>
      <x:c r="D116" s="2" t="str">
        <x:f>IF(A116="","",UPPER(TRIM('Source'!C110&amp;"")))</x:f>
      </x:c>
      <x:c r="E116" s="15" t="str">
        <x:f>IF(OR(A116="",ISBLANK('Source'!D110)),"",'Source'!D110)</x:f>
      </x:c>
      <x:c r="F116" s="15" t="str">
        <x:f>IF(OR(A116="",ISBLANK('Source'!E110)),"",'Source'!E110)</x:f>
      </x:c>
      <x:c r="G116" s="15" t="str">
        <x:f>IF(OR(A116="",ISBLANK('Source'!F110)),"",'Source'!F110)</x:f>
      </x:c>
      <x:c r="H116" s="2" t="str">
        <x:f>IF(A116="","",COUNTIFS($B$8:$B$213,B116))</x:f>
      </x:c>
      <x:c r="I116" s="11" t="str">
        <x:f>IF(A116="","",IF(B116="","Missing ID; ","")&amp;IF(AND(B116&lt;&gt;"",H116&gt;1),"Duplicate ID; ","")&amp;IF(ISNUMBER(C116),IF(OR(C116&lt;'Report'!$C$5,C116&gt;'Report'!$F$5),"Outside reporting period; ",""),"Invalid date; ")&amp;IF(COUNTIFS('Guide'!$B$24:$B$26,D116)=0,"Unknown team; ","")&amp;IF(ISNUMBER(E116),IF(E116&lt;0,"Negative effort; ",""),"Missing/non-numeric effort; ")&amp;IF(ISNUMBER(F116),IF(F116&lt;0,"Negative resolution; ",""),"Missing/non-numeric resolution; ")&amp;IF(ISNUMBER(G116),IF(G116&lt;=0,"Invalid SLA target; ",""),"Missing/non-numeric SLA target; "))</x:f>
      </x:c>
      <x:c r="J116" s="2" t="str">
        <x:f>IF(A116="","",IF(I116="","Included","Review"))</x:f>
      </x:c>
      <x:c r="K116" s="2" t="str">
        <x:f>IF(J116="Included",IF(F116&lt;=G116,1,0),"")</x:f>
      </x:c>
      <x:c r="L116" s="13" t="str">
        <x:f>IF(J116="Included",C116-WEEKDAY(C116,2)+1,"")</x:f>
      </x:c>
      <x:c r="M116" s="15" t="n">
        <x:f>IF(J116="Included",E116,0)</x:f>
        <x:v>0</x:v>
      </x:c>
      <x:c r="N116" s="15" t="n">
        <x:f>IF(J116="Included",F116,0)</x:f>
        <x:v>0</x:v>
      </x:c>
    </x:row>
    <x:row r="117" ht="32" customHeight="1">
      <x:c r="A117" s="2" t="str">
        <x:f>IF(COUNTA('Source'!A111:F111)=0,"",111)</x:f>
      </x:c>
      <x:c r="B117" s="2" t="str">
        <x:f>IF(A117="","",UPPER(TRIM('Source'!A111&amp;"")))</x:f>
      </x:c>
      <x:c r="C117" s="13" t="str">
        <x:f>IF(OR(A117="",ISBLANK('Source'!B111)),"",'Source'!B111)</x:f>
      </x:c>
      <x:c r="D117" s="2" t="str">
        <x:f>IF(A117="","",UPPER(TRIM('Source'!C111&amp;"")))</x:f>
      </x:c>
      <x:c r="E117" s="15" t="str">
        <x:f>IF(OR(A117="",ISBLANK('Source'!D111)),"",'Source'!D111)</x:f>
      </x:c>
      <x:c r="F117" s="15" t="str">
        <x:f>IF(OR(A117="",ISBLANK('Source'!E111)),"",'Source'!E111)</x:f>
      </x:c>
      <x:c r="G117" s="15" t="str">
        <x:f>IF(OR(A117="",ISBLANK('Source'!F111)),"",'Source'!F111)</x:f>
      </x:c>
      <x:c r="H117" s="2" t="str">
        <x:f>IF(A117="","",COUNTIFS($B$8:$B$213,B117))</x:f>
      </x:c>
      <x:c r="I117" s="11" t="str">
        <x:f>IF(A117="","",IF(B117="","Missing ID; ","")&amp;IF(AND(B117&lt;&gt;"",H117&gt;1),"Duplicate ID; ","")&amp;IF(ISNUMBER(C117),IF(OR(C117&lt;'Report'!$C$5,C117&gt;'Report'!$F$5),"Outside reporting period; ",""),"Invalid date; ")&amp;IF(COUNTIFS('Guide'!$B$24:$B$26,D117)=0,"Unknown team; ","")&amp;IF(ISNUMBER(E117),IF(E117&lt;0,"Negative effort; ",""),"Missing/non-numeric effort; ")&amp;IF(ISNUMBER(F117),IF(F117&lt;0,"Negative resolution; ",""),"Missing/non-numeric resolution; ")&amp;IF(ISNUMBER(G117),IF(G117&lt;=0,"Invalid SLA target; ",""),"Missing/non-numeric SLA target; "))</x:f>
      </x:c>
      <x:c r="J117" s="2" t="str">
        <x:f>IF(A117="","",IF(I117="","Included","Review"))</x:f>
      </x:c>
      <x:c r="K117" s="2" t="str">
        <x:f>IF(J117="Included",IF(F117&lt;=G117,1,0),"")</x:f>
      </x:c>
      <x:c r="L117" s="13" t="str">
        <x:f>IF(J117="Included",C117-WEEKDAY(C117,2)+1,"")</x:f>
      </x:c>
      <x:c r="M117" s="15" t="n">
        <x:f>IF(J117="Included",E117,0)</x:f>
        <x:v>0</x:v>
      </x:c>
      <x:c r="N117" s="15" t="n">
        <x:f>IF(J117="Included",F117,0)</x:f>
        <x:v>0</x:v>
      </x:c>
    </x:row>
    <x:row r="118" ht="32" customHeight="1">
      <x:c r="A118" s="2" t="str">
        <x:f>IF(COUNTA('Source'!A112:F112)=0,"",112)</x:f>
      </x:c>
      <x:c r="B118" s="2" t="str">
        <x:f>IF(A118="","",UPPER(TRIM('Source'!A112&amp;"")))</x:f>
      </x:c>
      <x:c r="C118" s="13" t="str">
        <x:f>IF(OR(A118="",ISBLANK('Source'!B112)),"",'Source'!B112)</x:f>
      </x:c>
      <x:c r="D118" s="2" t="str">
        <x:f>IF(A118="","",UPPER(TRIM('Source'!C112&amp;"")))</x:f>
      </x:c>
      <x:c r="E118" s="15" t="str">
        <x:f>IF(OR(A118="",ISBLANK('Source'!D112)),"",'Source'!D112)</x:f>
      </x:c>
      <x:c r="F118" s="15" t="str">
        <x:f>IF(OR(A118="",ISBLANK('Source'!E112)),"",'Source'!E112)</x:f>
      </x:c>
      <x:c r="G118" s="15" t="str">
        <x:f>IF(OR(A118="",ISBLANK('Source'!F112)),"",'Source'!F112)</x:f>
      </x:c>
      <x:c r="H118" s="2" t="str">
        <x:f>IF(A118="","",COUNTIFS($B$8:$B$213,B118))</x:f>
      </x:c>
      <x:c r="I118" s="11" t="str">
        <x:f>IF(A118="","",IF(B118="","Missing ID; ","")&amp;IF(AND(B118&lt;&gt;"",H118&gt;1),"Duplicate ID; ","")&amp;IF(ISNUMBER(C118),IF(OR(C118&lt;'Report'!$C$5,C118&gt;'Report'!$F$5),"Outside reporting period; ",""),"Invalid date; ")&amp;IF(COUNTIFS('Guide'!$B$24:$B$26,D118)=0,"Unknown team; ","")&amp;IF(ISNUMBER(E118),IF(E118&lt;0,"Negative effort; ",""),"Missing/non-numeric effort; ")&amp;IF(ISNUMBER(F118),IF(F118&lt;0,"Negative resolution; ",""),"Missing/non-numeric resolution; ")&amp;IF(ISNUMBER(G118),IF(G118&lt;=0,"Invalid SLA target; ",""),"Missing/non-numeric SLA target; "))</x:f>
      </x:c>
      <x:c r="J118" s="2" t="str">
        <x:f>IF(A118="","",IF(I118="","Included","Review"))</x:f>
      </x:c>
      <x:c r="K118" s="2" t="str">
        <x:f>IF(J118="Included",IF(F118&lt;=G118,1,0),"")</x:f>
      </x:c>
      <x:c r="L118" s="13" t="str">
        <x:f>IF(J118="Included",C118-WEEKDAY(C118,2)+1,"")</x:f>
      </x:c>
      <x:c r="M118" s="15" t="n">
        <x:f>IF(J118="Included",E118,0)</x:f>
        <x:v>0</x:v>
      </x:c>
      <x:c r="N118" s="15" t="n">
        <x:f>IF(J118="Included",F118,0)</x:f>
        <x:v>0</x:v>
      </x:c>
    </x:row>
    <x:row r="119" ht="32" customHeight="1">
      <x:c r="A119" s="2" t="str">
        <x:f>IF(COUNTA('Source'!A113:F113)=0,"",113)</x:f>
      </x:c>
      <x:c r="B119" s="2" t="str">
        <x:f>IF(A119="","",UPPER(TRIM('Source'!A113&amp;"")))</x:f>
      </x:c>
      <x:c r="C119" s="13" t="str">
        <x:f>IF(OR(A119="",ISBLANK('Source'!B113)),"",'Source'!B113)</x:f>
      </x:c>
      <x:c r="D119" s="2" t="str">
        <x:f>IF(A119="","",UPPER(TRIM('Source'!C113&amp;"")))</x:f>
      </x:c>
      <x:c r="E119" s="15" t="str">
        <x:f>IF(OR(A119="",ISBLANK('Source'!D113)),"",'Source'!D113)</x:f>
      </x:c>
      <x:c r="F119" s="15" t="str">
        <x:f>IF(OR(A119="",ISBLANK('Source'!E113)),"",'Source'!E113)</x:f>
      </x:c>
      <x:c r="G119" s="15" t="str">
        <x:f>IF(OR(A119="",ISBLANK('Source'!F113)),"",'Source'!F113)</x:f>
      </x:c>
      <x:c r="H119" s="2" t="str">
        <x:f>IF(A119="","",COUNTIFS($B$8:$B$213,B119))</x:f>
      </x:c>
      <x:c r="I119" s="11" t="str">
        <x:f>IF(A119="","",IF(B119="","Missing ID; ","")&amp;IF(AND(B119&lt;&gt;"",H119&gt;1),"Duplicate ID; ","")&amp;IF(ISNUMBER(C119),IF(OR(C119&lt;'Report'!$C$5,C119&gt;'Report'!$F$5),"Outside reporting period; ",""),"Invalid date; ")&amp;IF(COUNTIFS('Guide'!$B$24:$B$26,D119)=0,"Unknown team; ","")&amp;IF(ISNUMBER(E119),IF(E119&lt;0,"Negative effort; ",""),"Missing/non-numeric effort; ")&amp;IF(ISNUMBER(F119),IF(F119&lt;0,"Negative resolution; ",""),"Missing/non-numeric resolution; ")&amp;IF(ISNUMBER(G119),IF(G119&lt;=0,"Invalid SLA target; ",""),"Missing/non-numeric SLA target; "))</x:f>
      </x:c>
      <x:c r="J119" s="2" t="str">
        <x:f>IF(A119="","",IF(I119="","Included","Review"))</x:f>
      </x:c>
      <x:c r="K119" s="2" t="str">
        <x:f>IF(J119="Included",IF(F119&lt;=G119,1,0),"")</x:f>
      </x:c>
      <x:c r="L119" s="13" t="str">
        <x:f>IF(J119="Included",C119-WEEKDAY(C119,2)+1,"")</x:f>
      </x:c>
      <x:c r="M119" s="15" t="n">
        <x:f>IF(J119="Included",E119,0)</x:f>
        <x:v>0</x:v>
      </x:c>
      <x:c r="N119" s="15" t="n">
        <x:f>IF(J119="Included",F119,0)</x:f>
        <x:v>0</x:v>
      </x:c>
    </x:row>
    <x:row r="120" ht="32" customHeight="1">
      <x:c r="A120" s="2" t="str">
        <x:f>IF(COUNTA('Source'!A114:F114)=0,"",114)</x:f>
      </x:c>
      <x:c r="B120" s="2" t="str">
        <x:f>IF(A120="","",UPPER(TRIM('Source'!A114&amp;"")))</x:f>
      </x:c>
      <x:c r="C120" s="13" t="str">
        <x:f>IF(OR(A120="",ISBLANK('Source'!B114)),"",'Source'!B114)</x:f>
      </x:c>
      <x:c r="D120" s="2" t="str">
        <x:f>IF(A120="","",UPPER(TRIM('Source'!C114&amp;"")))</x:f>
      </x:c>
      <x:c r="E120" s="15" t="str">
        <x:f>IF(OR(A120="",ISBLANK('Source'!D114)),"",'Source'!D114)</x:f>
      </x:c>
      <x:c r="F120" s="15" t="str">
        <x:f>IF(OR(A120="",ISBLANK('Source'!E114)),"",'Source'!E114)</x:f>
      </x:c>
      <x:c r="G120" s="15" t="str">
        <x:f>IF(OR(A120="",ISBLANK('Source'!F114)),"",'Source'!F114)</x:f>
      </x:c>
      <x:c r="H120" s="2" t="str">
        <x:f>IF(A120="","",COUNTIFS($B$8:$B$213,B120))</x:f>
      </x:c>
      <x:c r="I120" s="11" t="str">
        <x:f>IF(A120="","",IF(B120="","Missing ID; ","")&amp;IF(AND(B120&lt;&gt;"",H120&gt;1),"Duplicate ID; ","")&amp;IF(ISNUMBER(C120),IF(OR(C120&lt;'Report'!$C$5,C120&gt;'Report'!$F$5),"Outside reporting period; ",""),"Invalid date; ")&amp;IF(COUNTIFS('Guide'!$B$24:$B$26,D120)=0,"Unknown team; ","")&amp;IF(ISNUMBER(E120),IF(E120&lt;0,"Negative effort; ",""),"Missing/non-numeric effort; ")&amp;IF(ISNUMBER(F120),IF(F120&lt;0,"Negative resolution; ",""),"Missing/non-numeric resolution; ")&amp;IF(ISNUMBER(G120),IF(G120&lt;=0,"Invalid SLA target; ",""),"Missing/non-numeric SLA target; "))</x:f>
      </x:c>
      <x:c r="J120" s="2" t="str">
        <x:f>IF(A120="","",IF(I120="","Included","Review"))</x:f>
      </x:c>
      <x:c r="K120" s="2" t="str">
        <x:f>IF(J120="Included",IF(F120&lt;=G120,1,0),"")</x:f>
      </x:c>
      <x:c r="L120" s="13" t="str">
        <x:f>IF(J120="Included",C120-WEEKDAY(C120,2)+1,"")</x:f>
      </x:c>
      <x:c r="M120" s="15" t="n">
        <x:f>IF(J120="Included",E120,0)</x:f>
        <x:v>0</x:v>
      </x:c>
      <x:c r="N120" s="15" t="n">
        <x:f>IF(J120="Included",F120,0)</x:f>
        <x:v>0</x:v>
      </x:c>
    </x:row>
    <x:row r="121" ht="32" customHeight="1">
      <x:c r="A121" s="2" t="str">
        <x:f>IF(COUNTA('Source'!A115:F115)=0,"",115)</x:f>
      </x:c>
      <x:c r="B121" s="2" t="str">
        <x:f>IF(A121="","",UPPER(TRIM('Source'!A115&amp;"")))</x:f>
      </x:c>
      <x:c r="C121" s="13" t="str">
        <x:f>IF(OR(A121="",ISBLANK('Source'!B115)),"",'Source'!B115)</x:f>
      </x:c>
      <x:c r="D121" s="2" t="str">
        <x:f>IF(A121="","",UPPER(TRIM('Source'!C115&amp;"")))</x:f>
      </x:c>
      <x:c r="E121" s="15" t="str">
        <x:f>IF(OR(A121="",ISBLANK('Source'!D115)),"",'Source'!D115)</x:f>
      </x:c>
      <x:c r="F121" s="15" t="str">
        <x:f>IF(OR(A121="",ISBLANK('Source'!E115)),"",'Source'!E115)</x:f>
      </x:c>
      <x:c r="G121" s="15" t="str">
        <x:f>IF(OR(A121="",ISBLANK('Source'!F115)),"",'Source'!F115)</x:f>
      </x:c>
      <x:c r="H121" s="2" t="str">
        <x:f>IF(A121="","",COUNTIFS($B$8:$B$213,B121))</x:f>
      </x:c>
      <x:c r="I121" s="11" t="str">
        <x:f>IF(A121="","",IF(B121="","Missing ID; ","")&amp;IF(AND(B121&lt;&gt;"",H121&gt;1),"Duplicate ID; ","")&amp;IF(ISNUMBER(C121),IF(OR(C121&lt;'Report'!$C$5,C121&gt;'Report'!$F$5),"Outside reporting period; ",""),"Invalid date; ")&amp;IF(COUNTIFS('Guide'!$B$24:$B$26,D121)=0,"Unknown team; ","")&amp;IF(ISNUMBER(E121),IF(E121&lt;0,"Negative effort; ",""),"Missing/non-numeric effort; ")&amp;IF(ISNUMBER(F121),IF(F121&lt;0,"Negative resolution; ",""),"Missing/non-numeric resolution; ")&amp;IF(ISNUMBER(G121),IF(G121&lt;=0,"Invalid SLA target; ",""),"Missing/non-numeric SLA target; "))</x:f>
      </x:c>
      <x:c r="J121" s="2" t="str">
        <x:f>IF(A121="","",IF(I121="","Included","Review"))</x:f>
      </x:c>
      <x:c r="K121" s="2" t="str">
        <x:f>IF(J121="Included",IF(F121&lt;=G121,1,0),"")</x:f>
      </x:c>
      <x:c r="L121" s="13" t="str">
        <x:f>IF(J121="Included",C121-WEEKDAY(C121,2)+1,"")</x:f>
      </x:c>
      <x:c r="M121" s="15" t="n">
        <x:f>IF(J121="Included",E121,0)</x:f>
        <x:v>0</x:v>
      </x:c>
      <x:c r="N121" s="15" t="n">
        <x:f>IF(J121="Included",F121,0)</x:f>
        <x:v>0</x:v>
      </x:c>
    </x:row>
    <x:row r="122" ht="32" customHeight="1">
      <x:c r="A122" s="2" t="str">
        <x:f>IF(COUNTA('Source'!A116:F116)=0,"",116)</x:f>
      </x:c>
      <x:c r="B122" s="2" t="str">
        <x:f>IF(A122="","",UPPER(TRIM('Source'!A116&amp;"")))</x:f>
      </x:c>
      <x:c r="C122" s="13" t="str">
        <x:f>IF(OR(A122="",ISBLANK('Source'!B116)),"",'Source'!B116)</x:f>
      </x:c>
      <x:c r="D122" s="2" t="str">
        <x:f>IF(A122="","",UPPER(TRIM('Source'!C116&amp;"")))</x:f>
      </x:c>
      <x:c r="E122" s="15" t="str">
        <x:f>IF(OR(A122="",ISBLANK('Source'!D116)),"",'Source'!D116)</x:f>
      </x:c>
      <x:c r="F122" s="15" t="str">
        <x:f>IF(OR(A122="",ISBLANK('Source'!E116)),"",'Source'!E116)</x:f>
      </x:c>
      <x:c r="G122" s="15" t="str">
        <x:f>IF(OR(A122="",ISBLANK('Source'!F116)),"",'Source'!F116)</x:f>
      </x:c>
      <x:c r="H122" s="2" t="str">
        <x:f>IF(A122="","",COUNTIFS($B$8:$B$213,B122))</x:f>
      </x:c>
      <x:c r="I122" s="11" t="str">
        <x:f>IF(A122="","",IF(B122="","Missing ID; ","")&amp;IF(AND(B122&lt;&gt;"",H122&gt;1),"Duplicate ID; ","")&amp;IF(ISNUMBER(C122),IF(OR(C122&lt;'Report'!$C$5,C122&gt;'Report'!$F$5),"Outside reporting period; ",""),"Invalid date; ")&amp;IF(COUNTIFS('Guide'!$B$24:$B$26,D122)=0,"Unknown team; ","")&amp;IF(ISNUMBER(E122),IF(E122&lt;0,"Negative effort; ",""),"Missing/non-numeric effort; ")&amp;IF(ISNUMBER(F122),IF(F122&lt;0,"Negative resolution; ",""),"Missing/non-numeric resolution; ")&amp;IF(ISNUMBER(G122),IF(G122&lt;=0,"Invalid SLA target; ",""),"Missing/non-numeric SLA target; "))</x:f>
      </x:c>
      <x:c r="J122" s="2" t="str">
        <x:f>IF(A122="","",IF(I122="","Included","Review"))</x:f>
      </x:c>
      <x:c r="K122" s="2" t="str">
        <x:f>IF(J122="Included",IF(F122&lt;=G122,1,0),"")</x:f>
      </x:c>
      <x:c r="L122" s="13" t="str">
        <x:f>IF(J122="Included",C122-WEEKDAY(C122,2)+1,"")</x:f>
      </x:c>
      <x:c r="M122" s="15" t="n">
        <x:f>IF(J122="Included",E122,0)</x:f>
        <x:v>0</x:v>
      </x:c>
      <x:c r="N122" s="15" t="n">
        <x:f>IF(J122="Included",F122,0)</x:f>
        <x:v>0</x:v>
      </x:c>
    </x:row>
    <x:row r="123" ht="32" customHeight="1">
      <x:c r="A123" s="2" t="str">
        <x:f>IF(COUNTA('Source'!A117:F117)=0,"",117)</x:f>
      </x:c>
      <x:c r="B123" s="2" t="str">
        <x:f>IF(A123="","",UPPER(TRIM('Source'!A117&amp;"")))</x:f>
      </x:c>
      <x:c r="C123" s="13" t="str">
        <x:f>IF(OR(A123="",ISBLANK('Source'!B117)),"",'Source'!B117)</x:f>
      </x:c>
      <x:c r="D123" s="2" t="str">
        <x:f>IF(A123="","",UPPER(TRIM('Source'!C117&amp;"")))</x:f>
      </x:c>
      <x:c r="E123" s="15" t="str">
        <x:f>IF(OR(A123="",ISBLANK('Source'!D117)),"",'Source'!D117)</x:f>
      </x:c>
      <x:c r="F123" s="15" t="str">
        <x:f>IF(OR(A123="",ISBLANK('Source'!E117)),"",'Source'!E117)</x:f>
      </x:c>
      <x:c r="G123" s="15" t="str">
        <x:f>IF(OR(A123="",ISBLANK('Source'!F117)),"",'Source'!F117)</x:f>
      </x:c>
      <x:c r="H123" s="2" t="str">
        <x:f>IF(A123="","",COUNTIFS($B$8:$B$213,B123))</x:f>
      </x:c>
      <x:c r="I123" s="11" t="str">
        <x:f>IF(A123="","",IF(B123="","Missing ID; ","")&amp;IF(AND(B123&lt;&gt;"",H123&gt;1),"Duplicate ID; ","")&amp;IF(ISNUMBER(C123),IF(OR(C123&lt;'Report'!$C$5,C123&gt;'Report'!$F$5),"Outside reporting period; ",""),"Invalid date; ")&amp;IF(COUNTIFS('Guide'!$B$24:$B$26,D123)=0,"Unknown team; ","")&amp;IF(ISNUMBER(E123),IF(E123&lt;0,"Negative effort; ",""),"Missing/non-numeric effort; ")&amp;IF(ISNUMBER(F123),IF(F123&lt;0,"Negative resolution; ",""),"Missing/non-numeric resolution; ")&amp;IF(ISNUMBER(G123),IF(G123&lt;=0,"Invalid SLA target; ",""),"Missing/non-numeric SLA target; "))</x:f>
      </x:c>
      <x:c r="J123" s="2" t="str">
        <x:f>IF(A123="","",IF(I123="","Included","Review"))</x:f>
      </x:c>
      <x:c r="K123" s="2" t="str">
        <x:f>IF(J123="Included",IF(F123&lt;=G123,1,0),"")</x:f>
      </x:c>
      <x:c r="L123" s="13" t="str">
        <x:f>IF(J123="Included",C123-WEEKDAY(C123,2)+1,"")</x:f>
      </x:c>
      <x:c r="M123" s="15" t="n">
        <x:f>IF(J123="Included",E123,0)</x:f>
        <x:v>0</x:v>
      </x:c>
      <x:c r="N123" s="15" t="n">
        <x:f>IF(J123="Included",F123,0)</x:f>
        <x:v>0</x:v>
      </x:c>
    </x:row>
    <x:row r="124" ht="32" customHeight="1">
      <x:c r="A124" s="2" t="str">
        <x:f>IF(COUNTA('Source'!A118:F118)=0,"",118)</x:f>
      </x:c>
      <x:c r="B124" s="2" t="str">
        <x:f>IF(A124="","",UPPER(TRIM('Source'!A118&amp;"")))</x:f>
      </x:c>
      <x:c r="C124" s="13" t="str">
        <x:f>IF(OR(A124="",ISBLANK('Source'!B118)),"",'Source'!B118)</x:f>
      </x:c>
      <x:c r="D124" s="2" t="str">
        <x:f>IF(A124="","",UPPER(TRIM('Source'!C118&amp;"")))</x:f>
      </x:c>
      <x:c r="E124" s="15" t="str">
        <x:f>IF(OR(A124="",ISBLANK('Source'!D118)),"",'Source'!D118)</x:f>
      </x:c>
      <x:c r="F124" s="15" t="str">
        <x:f>IF(OR(A124="",ISBLANK('Source'!E118)),"",'Source'!E118)</x:f>
      </x:c>
      <x:c r="G124" s="15" t="str">
        <x:f>IF(OR(A124="",ISBLANK('Source'!F118)),"",'Source'!F118)</x:f>
      </x:c>
      <x:c r="H124" s="2" t="str">
        <x:f>IF(A124="","",COUNTIFS($B$8:$B$213,B124))</x:f>
      </x:c>
      <x:c r="I124" s="11" t="str">
        <x:f>IF(A124="","",IF(B124="","Missing ID; ","")&amp;IF(AND(B124&lt;&gt;"",H124&gt;1),"Duplicate ID; ","")&amp;IF(ISNUMBER(C124),IF(OR(C124&lt;'Report'!$C$5,C124&gt;'Report'!$F$5),"Outside reporting period; ",""),"Invalid date; ")&amp;IF(COUNTIFS('Guide'!$B$24:$B$26,D124)=0,"Unknown team; ","")&amp;IF(ISNUMBER(E124),IF(E124&lt;0,"Negative effort; ",""),"Missing/non-numeric effort; ")&amp;IF(ISNUMBER(F124),IF(F124&lt;0,"Negative resolution; ",""),"Missing/non-numeric resolution; ")&amp;IF(ISNUMBER(G124),IF(G124&lt;=0,"Invalid SLA target; ",""),"Missing/non-numeric SLA target; "))</x:f>
      </x:c>
      <x:c r="J124" s="2" t="str">
        <x:f>IF(A124="","",IF(I124="","Included","Review"))</x:f>
      </x:c>
      <x:c r="K124" s="2" t="str">
        <x:f>IF(J124="Included",IF(F124&lt;=G124,1,0),"")</x:f>
      </x:c>
      <x:c r="L124" s="13" t="str">
        <x:f>IF(J124="Included",C124-WEEKDAY(C124,2)+1,"")</x:f>
      </x:c>
      <x:c r="M124" s="15" t="n">
        <x:f>IF(J124="Included",E124,0)</x:f>
        <x:v>0</x:v>
      </x:c>
      <x:c r="N124" s="15" t="n">
        <x:f>IF(J124="Included",F124,0)</x:f>
        <x:v>0</x:v>
      </x:c>
    </x:row>
    <x:row r="125" ht="32" customHeight="1">
      <x:c r="A125" s="2" t="str">
        <x:f>IF(COUNTA('Source'!A119:F119)=0,"",119)</x:f>
      </x:c>
      <x:c r="B125" s="2" t="str">
        <x:f>IF(A125="","",UPPER(TRIM('Source'!A119&amp;"")))</x:f>
      </x:c>
      <x:c r="C125" s="13" t="str">
        <x:f>IF(OR(A125="",ISBLANK('Source'!B119)),"",'Source'!B119)</x:f>
      </x:c>
      <x:c r="D125" s="2" t="str">
        <x:f>IF(A125="","",UPPER(TRIM('Source'!C119&amp;"")))</x:f>
      </x:c>
      <x:c r="E125" s="15" t="str">
        <x:f>IF(OR(A125="",ISBLANK('Source'!D119)),"",'Source'!D119)</x:f>
      </x:c>
      <x:c r="F125" s="15" t="str">
        <x:f>IF(OR(A125="",ISBLANK('Source'!E119)),"",'Source'!E119)</x:f>
      </x:c>
      <x:c r="G125" s="15" t="str">
        <x:f>IF(OR(A125="",ISBLANK('Source'!F119)),"",'Source'!F119)</x:f>
      </x:c>
      <x:c r="H125" s="2" t="str">
        <x:f>IF(A125="","",COUNTIFS($B$8:$B$213,B125))</x:f>
      </x:c>
      <x:c r="I125" s="11" t="str">
        <x:f>IF(A125="","",IF(B125="","Missing ID; ","")&amp;IF(AND(B125&lt;&gt;"",H125&gt;1),"Duplicate ID; ","")&amp;IF(ISNUMBER(C125),IF(OR(C125&lt;'Report'!$C$5,C125&gt;'Report'!$F$5),"Outside reporting period; ",""),"Invalid date; ")&amp;IF(COUNTIFS('Guide'!$B$24:$B$26,D125)=0,"Unknown team; ","")&amp;IF(ISNUMBER(E125),IF(E125&lt;0,"Negative effort; ",""),"Missing/non-numeric effort; ")&amp;IF(ISNUMBER(F125),IF(F125&lt;0,"Negative resolution; ",""),"Missing/non-numeric resolution; ")&amp;IF(ISNUMBER(G125),IF(G125&lt;=0,"Invalid SLA target; ",""),"Missing/non-numeric SLA target; "))</x:f>
      </x:c>
      <x:c r="J125" s="2" t="str">
        <x:f>IF(A125="","",IF(I125="","Included","Review"))</x:f>
      </x:c>
      <x:c r="K125" s="2" t="str">
        <x:f>IF(J125="Included",IF(F125&lt;=G125,1,0),"")</x:f>
      </x:c>
      <x:c r="L125" s="13" t="str">
        <x:f>IF(J125="Included",C125-WEEKDAY(C125,2)+1,"")</x:f>
      </x:c>
      <x:c r="M125" s="15" t="n">
        <x:f>IF(J125="Included",E125,0)</x:f>
        <x:v>0</x:v>
      </x:c>
      <x:c r="N125" s="15" t="n">
        <x:f>IF(J125="Included",F125,0)</x:f>
        <x:v>0</x:v>
      </x:c>
    </x:row>
    <x:row r="126" ht="32" customHeight="1">
      <x:c r="A126" s="2" t="str">
        <x:f>IF(COUNTA('Source'!A120:F120)=0,"",120)</x:f>
      </x:c>
      <x:c r="B126" s="2" t="str">
        <x:f>IF(A126="","",UPPER(TRIM('Source'!A120&amp;"")))</x:f>
      </x:c>
      <x:c r="C126" s="13" t="str">
        <x:f>IF(OR(A126="",ISBLANK('Source'!B120)),"",'Source'!B120)</x:f>
      </x:c>
      <x:c r="D126" s="2" t="str">
        <x:f>IF(A126="","",UPPER(TRIM('Source'!C120&amp;"")))</x:f>
      </x:c>
      <x:c r="E126" s="15" t="str">
        <x:f>IF(OR(A126="",ISBLANK('Source'!D120)),"",'Source'!D120)</x:f>
      </x:c>
      <x:c r="F126" s="15" t="str">
        <x:f>IF(OR(A126="",ISBLANK('Source'!E120)),"",'Source'!E120)</x:f>
      </x:c>
      <x:c r="G126" s="15" t="str">
        <x:f>IF(OR(A126="",ISBLANK('Source'!F120)),"",'Source'!F120)</x:f>
      </x:c>
      <x:c r="H126" s="2" t="str">
        <x:f>IF(A126="","",COUNTIFS($B$8:$B$213,B126))</x:f>
      </x:c>
      <x:c r="I126" s="11" t="str">
        <x:f>IF(A126="","",IF(B126="","Missing ID; ","")&amp;IF(AND(B126&lt;&gt;"",H126&gt;1),"Duplicate ID; ","")&amp;IF(ISNUMBER(C126),IF(OR(C126&lt;'Report'!$C$5,C126&gt;'Report'!$F$5),"Outside reporting period; ",""),"Invalid date; ")&amp;IF(COUNTIFS('Guide'!$B$24:$B$26,D126)=0,"Unknown team; ","")&amp;IF(ISNUMBER(E126),IF(E126&lt;0,"Negative effort; ",""),"Missing/non-numeric effort; ")&amp;IF(ISNUMBER(F126),IF(F126&lt;0,"Negative resolution; ",""),"Missing/non-numeric resolution; ")&amp;IF(ISNUMBER(G126),IF(G126&lt;=0,"Invalid SLA target; ",""),"Missing/non-numeric SLA target; "))</x:f>
      </x:c>
      <x:c r="J126" s="2" t="str">
        <x:f>IF(A126="","",IF(I126="","Included","Review"))</x:f>
      </x:c>
      <x:c r="K126" s="2" t="str">
        <x:f>IF(J126="Included",IF(F126&lt;=G126,1,0),"")</x:f>
      </x:c>
      <x:c r="L126" s="13" t="str">
        <x:f>IF(J126="Included",C126-WEEKDAY(C126,2)+1,"")</x:f>
      </x:c>
      <x:c r="M126" s="15" t="n">
        <x:f>IF(J126="Included",E126,0)</x:f>
        <x:v>0</x:v>
      </x:c>
      <x:c r="N126" s="15" t="n">
        <x:f>IF(J126="Included",F126,0)</x:f>
        <x:v>0</x:v>
      </x:c>
    </x:row>
    <x:row r="127" ht="32" customHeight="1">
      <x:c r="A127" s="2" t="str">
        <x:f>IF(COUNTA('Source'!A121:F121)=0,"",121)</x:f>
      </x:c>
      <x:c r="B127" s="2" t="str">
        <x:f>IF(A127="","",UPPER(TRIM('Source'!A121&amp;"")))</x:f>
      </x:c>
      <x:c r="C127" s="13" t="str">
        <x:f>IF(OR(A127="",ISBLANK('Source'!B121)),"",'Source'!B121)</x:f>
      </x:c>
      <x:c r="D127" s="2" t="str">
        <x:f>IF(A127="","",UPPER(TRIM('Source'!C121&amp;"")))</x:f>
      </x:c>
      <x:c r="E127" s="15" t="str">
        <x:f>IF(OR(A127="",ISBLANK('Source'!D121)),"",'Source'!D121)</x:f>
      </x:c>
      <x:c r="F127" s="15" t="str">
        <x:f>IF(OR(A127="",ISBLANK('Source'!E121)),"",'Source'!E121)</x:f>
      </x:c>
      <x:c r="G127" s="15" t="str">
        <x:f>IF(OR(A127="",ISBLANK('Source'!F121)),"",'Source'!F121)</x:f>
      </x:c>
      <x:c r="H127" s="2" t="str">
        <x:f>IF(A127="","",COUNTIFS($B$8:$B$213,B127))</x:f>
      </x:c>
      <x:c r="I127" s="11" t="str">
        <x:f>IF(A127="","",IF(B127="","Missing ID; ","")&amp;IF(AND(B127&lt;&gt;"",H127&gt;1),"Duplicate ID; ","")&amp;IF(ISNUMBER(C127),IF(OR(C127&lt;'Report'!$C$5,C127&gt;'Report'!$F$5),"Outside reporting period; ",""),"Invalid date; ")&amp;IF(COUNTIFS('Guide'!$B$24:$B$26,D127)=0,"Unknown team; ","")&amp;IF(ISNUMBER(E127),IF(E127&lt;0,"Negative effort; ",""),"Missing/non-numeric effort; ")&amp;IF(ISNUMBER(F127),IF(F127&lt;0,"Negative resolution; ",""),"Missing/non-numeric resolution; ")&amp;IF(ISNUMBER(G127),IF(G127&lt;=0,"Invalid SLA target; ",""),"Missing/non-numeric SLA target; "))</x:f>
      </x:c>
      <x:c r="J127" s="2" t="str">
        <x:f>IF(A127="","",IF(I127="","Included","Review"))</x:f>
      </x:c>
      <x:c r="K127" s="2" t="str">
        <x:f>IF(J127="Included",IF(F127&lt;=G127,1,0),"")</x:f>
      </x:c>
      <x:c r="L127" s="13" t="str">
        <x:f>IF(J127="Included",C127-WEEKDAY(C127,2)+1,"")</x:f>
      </x:c>
      <x:c r="M127" s="15" t="n">
        <x:f>IF(J127="Included",E127,0)</x:f>
        <x:v>0</x:v>
      </x:c>
      <x:c r="N127" s="15" t="n">
        <x:f>IF(J127="Included",F127,0)</x:f>
        <x:v>0</x:v>
      </x:c>
    </x:row>
    <x:row r="128" ht="32" customHeight="1">
      <x:c r="A128" s="2" t="str">
        <x:f>IF(COUNTA('Source'!A122:F122)=0,"",122)</x:f>
      </x:c>
      <x:c r="B128" s="2" t="str">
        <x:f>IF(A128="","",UPPER(TRIM('Source'!A122&amp;"")))</x:f>
      </x:c>
      <x:c r="C128" s="13" t="str">
        <x:f>IF(OR(A128="",ISBLANK('Source'!B122)),"",'Source'!B122)</x:f>
      </x:c>
      <x:c r="D128" s="2" t="str">
        <x:f>IF(A128="","",UPPER(TRIM('Source'!C122&amp;"")))</x:f>
      </x:c>
      <x:c r="E128" s="15" t="str">
        <x:f>IF(OR(A128="",ISBLANK('Source'!D122)),"",'Source'!D122)</x:f>
      </x:c>
      <x:c r="F128" s="15" t="str">
        <x:f>IF(OR(A128="",ISBLANK('Source'!E122)),"",'Source'!E122)</x:f>
      </x:c>
      <x:c r="G128" s="15" t="str">
        <x:f>IF(OR(A128="",ISBLANK('Source'!F122)),"",'Source'!F122)</x:f>
      </x:c>
      <x:c r="H128" s="2" t="str">
        <x:f>IF(A128="","",COUNTIFS($B$8:$B$213,B128))</x:f>
      </x:c>
      <x:c r="I128" s="11" t="str">
        <x:f>IF(A128="","",IF(B128="","Missing ID; ","")&amp;IF(AND(B128&lt;&gt;"",H128&gt;1),"Duplicate ID; ","")&amp;IF(ISNUMBER(C128),IF(OR(C128&lt;'Report'!$C$5,C128&gt;'Report'!$F$5),"Outside reporting period; ",""),"Invalid date; ")&amp;IF(COUNTIFS('Guide'!$B$24:$B$26,D128)=0,"Unknown team; ","")&amp;IF(ISNUMBER(E128),IF(E128&lt;0,"Negative effort; ",""),"Missing/non-numeric effort; ")&amp;IF(ISNUMBER(F128),IF(F128&lt;0,"Negative resolution; ",""),"Missing/non-numeric resolution; ")&amp;IF(ISNUMBER(G128),IF(G128&lt;=0,"Invalid SLA target; ",""),"Missing/non-numeric SLA target; "))</x:f>
      </x:c>
      <x:c r="J128" s="2" t="str">
        <x:f>IF(A128="","",IF(I128="","Included","Review"))</x:f>
      </x:c>
      <x:c r="K128" s="2" t="str">
        <x:f>IF(J128="Included",IF(F128&lt;=G128,1,0),"")</x:f>
      </x:c>
      <x:c r="L128" s="13" t="str">
        <x:f>IF(J128="Included",C128-WEEKDAY(C128,2)+1,"")</x:f>
      </x:c>
      <x:c r="M128" s="15" t="n">
        <x:f>IF(J128="Included",E128,0)</x:f>
        <x:v>0</x:v>
      </x:c>
      <x:c r="N128" s="15" t="n">
        <x:f>IF(J128="Included",F128,0)</x:f>
        <x:v>0</x:v>
      </x:c>
    </x:row>
    <x:row r="129" ht="32" customHeight="1">
      <x:c r="A129" s="2" t="str">
        <x:f>IF(COUNTA('Source'!A123:F123)=0,"",123)</x:f>
      </x:c>
      <x:c r="B129" s="2" t="str">
        <x:f>IF(A129="","",UPPER(TRIM('Source'!A123&amp;"")))</x:f>
      </x:c>
      <x:c r="C129" s="13" t="str">
        <x:f>IF(OR(A129="",ISBLANK('Source'!B123)),"",'Source'!B123)</x:f>
      </x:c>
      <x:c r="D129" s="2" t="str">
        <x:f>IF(A129="","",UPPER(TRIM('Source'!C123&amp;"")))</x:f>
      </x:c>
      <x:c r="E129" s="15" t="str">
        <x:f>IF(OR(A129="",ISBLANK('Source'!D123)),"",'Source'!D123)</x:f>
      </x:c>
      <x:c r="F129" s="15" t="str">
        <x:f>IF(OR(A129="",ISBLANK('Source'!E123)),"",'Source'!E123)</x:f>
      </x:c>
      <x:c r="G129" s="15" t="str">
        <x:f>IF(OR(A129="",ISBLANK('Source'!F123)),"",'Source'!F123)</x:f>
      </x:c>
      <x:c r="H129" s="2" t="str">
        <x:f>IF(A129="","",COUNTIFS($B$8:$B$213,B129))</x:f>
      </x:c>
      <x:c r="I129" s="11" t="str">
        <x:f>IF(A129="","",IF(B129="","Missing ID; ","")&amp;IF(AND(B129&lt;&gt;"",H129&gt;1),"Duplicate ID; ","")&amp;IF(ISNUMBER(C129),IF(OR(C129&lt;'Report'!$C$5,C129&gt;'Report'!$F$5),"Outside reporting period; ",""),"Invalid date; ")&amp;IF(COUNTIFS('Guide'!$B$24:$B$26,D129)=0,"Unknown team; ","")&amp;IF(ISNUMBER(E129),IF(E129&lt;0,"Negative effort; ",""),"Missing/non-numeric effort; ")&amp;IF(ISNUMBER(F129),IF(F129&lt;0,"Negative resolution; ",""),"Missing/non-numeric resolution; ")&amp;IF(ISNUMBER(G129),IF(G129&lt;=0,"Invalid SLA target; ",""),"Missing/non-numeric SLA target; "))</x:f>
      </x:c>
      <x:c r="J129" s="2" t="str">
        <x:f>IF(A129="","",IF(I129="","Included","Review"))</x:f>
      </x:c>
      <x:c r="K129" s="2" t="str">
        <x:f>IF(J129="Included",IF(F129&lt;=G129,1,0),"")</x:f>
      </x:c>
      <x:c r="L129" s="13" t="str">
        <x:f>IF(J129="Included",C129-WEEKDAY(C129,2)+1,"")</x:f>
      </x:c>
      <x:c r="M129" s="15" t="n">
        <x:f>IF(J129="Included",E129,0)</x:f>
        <x:v>0</x:v>
      </x:c>
      <x:c r="N129" s="15" t="n">
        <x:f>IF(J129="Included",F129,0)</x:f>
        <x:v>0</x:v>
      </x:c>
    </x:row>
    <x:row r="130" ht="32" customHeight="1">
      <x:c r="A130" s="2" t="str">
        <x:f>IF(COUNTA('Source'!A124:F124)=0,"",124)</x:f>
      </x:c>
      <x:c r="B130" s="2" t="str">
        <x:f>IF(A130="","",UPPER(TRIM('Source'!A124&amp;"")))</x:f>
      </x:c>
      <x:c r="C130" s="13" t="str">
        <x:f>IF(OR(A130="",ISBLANK('Source'!B124)),"",'Source'!B124)</x:f>
      </x:c>
      <x:c r="D130" s="2" t="str">
        <x:f>IF(A130="","",UPPER(TRIM('Source'!C124&amp;"")))</x:f>
      </x:c>
      <x:c r="E130" s="15" t="str">
        <x:f>IF(OR(A130="",ISBLANK('Source'!D124)),"",'Source'!D124)</x:f>
      </x:c>
      <x:c r="F130" s="15" t="str">
        <x:f>IF(OR(A130="",ISBLANK('Source'!E124)),"",'Source'!E124)</x:f>
      </x:c>
      <x:c r="G130" s="15" t="str">
        <x:f>IF(OR(A130="",ISBLANK('Source'!F124)),"",'Source'!F124)</x:f>
      </x:c>
      <x:c r="H130" s="2" t="str">
        <x:f>IF(A130="","",COUNTIFS($B$8:$B$213,B130))</x:f>
      </x:c>
      <x:c r="I130" s="11" t="str">
        <x:f>IF(A130="","",IF(B130="","Missing ID; ","")&amp;IF(AND(B130&lt;&gt;"",H130&gt;1),"Duplicate ID; ","")&amp;IF(ISNUMBER(C130),IF(OR(C130&lt;'Report'!$C$5,C130&gt;'Report'!$F$5),"Outside reporting period; ",""),"Invalid date; ")&amp;IF(COUNTIFS('Guide'!$B$24:$B$26,D130)=0,"Unknown team; ","")&amp;IF(ISNUMBER(E130),IF(E130&lt;0,"Negative effort; ",""),"Missing/non-numeric effort; ")&amp;IF(ISNUMBER(F130),IF(F130&lt;0,"Negative resolution; ",""),"Missing/non-numeric resolution; ")&amp;IF(ISNUMBER(G130),IF(G130&lt;=0,"Invalid SLA target; ",""),"Missing/non-numeric SLA target; "))</x:f>
      </x:c>
      <x:c r="J130" s="2" t="str">
        <x:f>IF(A130="","",IF(I130="","Included","Review"))</x:f>
      </x:c>
      <x:c r="K130" s="2" t="str">
        <x:f>IF(J130="Included",IF(F130&lt;=G130,1,0),"")</x:f>
      </x:c>
      <x:c r="L130" s="13" t="str">
        <x:f>IF(J130="Included",C130-WEEKDAY(C130,2)+1,"")</x:f>
      </x:c>
      <x:c r="M130" s="15" t="n">
        <x:f>IF(J130="Included",E130,0)</x:f>
        <x:v>0</x:v>
      </x:c>
      <x:c r="N130" s="15" t="n">
        <x:f>IF(J130="Included",F130,0)</x:f>
        <x:v>0</x:v>
      </x:c>
    </x:row>
    <x:row r="131" ht="32" customHeight="1">
      <x:c r="A131" s="2" t="str">
        <x:f>IF(COUNTA('Source'!A125:F125)=0,"",125)</x:f>
      </x:c>
      <x:c r="B131" s="2" t="str">
        <x:f>IF(A131="","",UPPER(TRIM('Source'!A125&amp;"")))</x:f>
      </x:c>
      <x:c r="C131" s="13" t="str">
        <x:f>IF(OR(A131="",ISBLANK('Source'!B125)),"",'Source'!B125)</x:f>
      </x:c>
      <x:c r="D131" s="2" t="str">
        <x:f>IF(A131="","",UPPER(TRIM('Source'!C125&amp;"")))</x:f>
      </x:c>
      <x:c r="E131" s="15" t="str">
        <x:f>IF(OR(A131="",ISBLANK('Source'!D125)),"",'Source'!D125)</x:f>
      </x:c>
      <x:c r="F131" s="15" t="str">
        <x:f>IF(OR(A131="",ISBLANK('Source'!E125)),"",'Source'!E125)</x:f>
      </x:c>
      <x:c r="G131" s="15" t="str">
        <x:f>IF(OR(A131="",ISBLANK('Source'!F125)),"",'Source'!F125)</x:f>
      </x:c>
      <x:c r="H131" s="2" t="str">
        <x:f>IF(A131="","",COUNTIFS($B$8:$B$213,B131))</x:f>
      </x:c>
      <x:c r="I131" s="11" t="str">
        <x:f>IF(A131="","",IF(B131="","Missing ID; ","")&amp;IF(AND(B131&lt;&gt;"",H131&gt;1),"Duplicate ID; ","")&amp;IF(ISNUMBER(C131),IF(OR(C131&lt;'Report'!$C$5,C131&gt;'Report'!$F$5),"Outside reporting period; ",""),"Invalid date; ")&amp;IF(COUNTIFS('Guide'!$B$24:$B$26,D131)=0,"Unknown team; ","")&amp;IF(ISNUMBER(E131),IF(E131&lt;0,"Negative effort; ",""),"Missing/non-numeric effort; ")&amp;IF(ISNUMBER(F131),IF(F131&lt;0,"Negative resolution; ",""),"Missing/non-numeric resolution; ")&amp;IF(ISNUMBER(G131),IF(G131&lt;=0,"Invalid SLA target; ",""),"Missing/non-numeric SLA target; "))</x:f>
      </x:c>
      <x:c r="J131" s="2" t="str">
        <x:f>IF(A131="","",IF(I131="","Included","Review"))</x:f>
      </x:c>
      <x:c r="K131" s="2" t="str">
        <x:f>IF(J131="Included",IF(F131&lt;=G131,1,0),"")</x:f>
      </x:c>
      <x:c r="L131" s="13" t="str">
        <x:f>IF(J131="Included",C131-WEEKDAY(C131,2)+1,"")</x:f>
      </x:c>
      <x:c r="M131" s="15" t="n">
        <x:f>IF(J131="Included",E131,0)</x:f>
        <x:v>0</x:v>
      </x:c>
      <x:c r="N131" s="15" t="n">
        <x:f>IF(J131="Included",F131,0)</x:f>
        <x:v>0</x:v>
      </x:c>
    </x:row>
    <x:row r="132" ht="32" customHeight="1">
      <x:c r="A132" s="2" t="str">
        <x:f>IF(COUNTA('Source'!A126:F126)=0,"",126)</x:f>
      </x:c>
      <x:c r="B132" s="2" t="str">
        <x:f>IF(A132="","",UPPER(TRIM('Source'!A126&amp;"")))</x:f>
      </x:c>
      <x:c r="C132" s="13" t="str">
        <x:f>IF(OR(A132="",ISBLANK('Source'!B126)),"",'Source'!B126)</x:f>
      </x:c>
      <x:c r="D132" s="2" t="str">
        <x:f>IF(A132="","",UPPER(TRIM('Source'!C126&amp;"")))</x:f>
      </x:c>
      <x:c r="E132" s="15" t="str">
        <x:f>IF(OR(A132="",ISBLANK('Source'!D126)),"",'Source'!D126)</x:f>
      </x:c>
      <x:c r="F132" s="15" t="str">
        <x:f>IF(OR(A132="",ISBLANK('Source'!E126)),"",'Source'!E126)</x:f>
      </x:c>
      <x:c r="G132" s="15" t="str">
        <x:f>IF(OR(A132="",ISBLANK('Source'!F126)),"",'Source'!F126)</x:f>
      </x:c>
      <x:c r="H132" s="2" t="str">
        <x:f>IF(A132="","",COUNTIFS($B$8:$B$213,B132))</x:f>
      </x:c>
      <x:c r="I132" s="11" t="str">
        <x:f>IF(A132="","",IF(B132="","Missing ID; ","")&amp;IF(AND(B132&lt;&gt;"",H132&gt;1),"Duplicate ID; ","")&amp;IF(ISNUMBER(C132),IF(OR(C132&lt;'Report'!$C$5,C132&gt;'Report'!$F$5),"Outside reporting period; ",""),"Invalid date; ")&amp;IF(COUNTIFS('Guide'!$B$24:$B$26,D132)=0,"Unknown team; ","")&amp;IF(ISNUMBER(E132),IF(E132&lt;0,"Negative effort; ",""),"Missing/non-numeric effort; ")&amp;IF(ISNUMBER(F132),IF(F132&lt;0,"Negative resolution; ",""),"Missing/non-numeric resolution; ")&amp;IF(ISNUMBER(G132),IF(G132&lt;=0,"Invalid SLA target; ",""),"Missing/non-numeric SLA target; "))</x:f>
      </x:c>
      <x:c r="J132" s="2" t="str">
        <x:f>IF(A132="","",IF(I132="","Included","Review"))</x:f>
      </x:c>
      <x:c r="K132" s="2" t="str">
        <x:f>IF(J132="Included",IF(F132&lt;=G132,1,0),"")</x:f>
      </x:c>
      <x:c r="L132" s="13" t="str">
        <x:f>IF(J132="Included",C132-WEEKDAY(C132,2)+1,"")</x:f>
      </x:c>
      <x:c r="M132" s="15" t="n">
        <x:f>IF(J132="Included",E132,0)</x:f>
        <x:v>0</x:v>
      </x:c>
      <x:c r="N132" s="15" t="n">
        <x:f>IF(J132="Included",F132,0)</x:f>
        <x:v>0</x:v>
      </x:c>
    </x:row>
    <x:row r="133" ht="32" customHeight="1">
      <x:c r="A133" s="2" t="str">
        <x:f>IF(COUNTA('Source'!A127:F127)=0,"",127)</x:f>
      </x:c>
      <x:c r="B133" s="2" t="str">
        <x:f>IF(A133="","",UPPER(TRIM('Source'!A127&amp;"")))</x:f>
      </x:c>
      <x:c r="C133" s="13" t="str">
        <x:f>IF(OR(A133="",ISBLANK('Source'!B127)),"",'Source'!B127)</x:f>
      </x:c>
      <x:c r="D133" s="2" t="str">
        <x:f>IF(A133="","",UPPER(TRIM('Source'!C127&amp;"")))</x:f>
      </x:c>
      <x:c r="E133" s="15" t="str">
        <x:f>IF(OR(A133="",ISBLANK('Source'!D127)),"",'Source'!D127)</x:f>
      </x:c>
      <x:c r="F133" s="15" t="str">
        <x:f>IF(OR(A133="",ISBLANK('Source'!E127)),"",'Source'!E127)</x:f>
      </x:c>
      <x:c r="G133" s="15" t="str">
        <x:f>IF(OR(A133="",ISBLANK('Source'!F127)),"",'Source'!F127)</x:f>
      </x:c>
      <x:c r="H133" s="2" t="str">
        <x:f>IF(A133="","",COUNTIFS($B$8:$B$213,B133))</x:f>
      </x:c>
      <x:c r="I133" s="11" t="str">
        <x:f>IF(A133="","",IF(B133="","Missing ID; ","")&amp;IF(AND(B133&lt;&gt;"",H133&gt;1),"Duplicate ID; ","")&amp;IF(ISNUMBER(C133),IF(OR(C133&lt;'Report'!$C$5,C133&gt;'Report'!$F$5),"Outside reporting period; ",""),"Invalid date; ")&amp;IF(COUNTIFS('Guide'!$B$24:$B$26,D133)=0,"Unknown team; ","")&amp;IF(ISNUMBER(E133),IF(E133&lt;0,"Negative effort; ",""),"Missing/non-numeric effort; ")&amp;IF(ISNUMBER(F133),IF(F133&lt;0,"Negative resolution; ",""),"Missing/non-numeric resolution; ")&amp;IF(ISNUMBER(G133),IF(G133&lt;=0,"Invalid SLA target; ",""),"Missing/non-numeric SLA target; "))</x:f>
      </x:c>
      <x:c r="J133" s="2" t="str">
        <x:f>IF(A133="","",IF(I133="","Included","Review"))</x:f>
      </x:c>
      <x:c r="K133" s="2" t="str">
        <x:f>IF(J133="Included",IF(F133&lt;=G133,1,0),"")</x:f>
      </x:c>
      <x:c r="L133" s="13" t="str">
        <x:f>IF(J133="Included",C133-WEEKDAY(C133,2)+1,"")</x:f>
      </x:c>
      <x:c r="M133" s="15" t="n">
        <x:f>IF(J133="Included",E133,0)</x:f>
        <x:v>0</x:v>
      </x:c>
      <x:c r="N133" s="15" t="n">
        <x:f>IF(J133="Included",F133,0)</x:f>
        <x:v>0</x:v>
      </x:c>
    </x:row>
    <x:row r="134" ht="32" customHeight="1">
      <x:c r="A134" s="2" t="str">
        <x:f>IF(COUNTA('Source'!A128:F128)=0,"",128)</x:f>
      </x:c>
      <x:c r="B134" s="2" t="str">
        <x:f>IF(A134="","",UPPER(TRIM('Source'!A128&amp;"")))</x:f>
      </x:c>
      <x:c r="C134" s="13" t="str">
        <x:f>IF(OR(A134="",ISBLANK('Source'!B128)),"",'Source'!B128)</x:f>
      </x:c>
      <x:c r="D134" s="2" t="str">
        <x:f>IF(A134="","",UPPER(TRIM('Source'!C128&amp;"")))</x:f>
      </x:c>
      <x:c r="E134" s="15" t="str">
        <x:f>IF(OR(A134="",ISBLANK('Source'!D128)),"",'Source'!D128)</x:f>
      </x:c>
      <x:c r="F134" s="15" t="str">
        <x:f>IF(OR(A134="",ISBLANK('Source'!E128)),"",'Source'!E128)</x:f>
      </x:c>
      <x:c r="G134" s="15" t="str">
        <x:f>IF(OR(A134="",ISBLANK('Source'!F128)),"",'Source'!F128)</x:f>
      </x:c>
      <x:c r="H134" s="2" t="str">
        <x:f>IF(A134="","",COUNTIFS($B$8:$B$213,B134))</x:f>
      </x:c>
      <x:c r="I134" s="11" t="str">
        <x:f>IF(A134="","",IF(B134="","Missing ID; ","")&amp;IF(AND(B134&lt;&gt;"",H134&gt;1),"Duplicate ID; ","")&amp;IF(ISNUMBER(C134),IF(OR(C134&lt;'Report'!$C$5,C134&gt;'Report'!$F$5),"Outside reporting period; ",""),"Invalid date; ")&amp;IF(COUNTIFS('Guide'!$B$24:$B$26,D134)=0,"Unknown team; ","")&amp;IF(ISNUMBER(E134),IF(E134&lt;0,"Negative effort; ",""),"Missing/non-numeric effort; ")&amp;IF(ISNUMBER(F134),IF(F134&lt;0,"Negative resolution; ",""),"Missing/non-numeric resolution; ")&amp;IF(ISNUMBER(G134),IF(G134&lt;=0,"Invalid SLA target; ",""),"Missing/non-numeric SLA target; "))</x:f>
      </x:c>
      <x:c r="J134" s="2" t="str">
        <x:f>IF(A134="","",IF(I134="","Included","Review"))</x:f>
      </x:c>
      <x:c r="K134" s="2" t="str">
        <x:f>IF(J134="Included",IF(F134&lt;=G134,1,0),"")</x:f>
      </x:c>
      <x:c r="L134" s="13" t="str">
        <x:f>IF(J134="Included",C134-WEEKDAY(C134,2)+1,"")</x:f>
      </x:c>
      <x:c r="M134" s="15" t="n">
        <x:f>IF(J134="Included",E134,0)</x:f>
        <x:v>0</x:v>
      </x:c>
      <x:c r="N134" s="15" t="n">
        <x:f>IF(J134="Included",F134,0)</x:f>
        <x:v>0</x:v>
      </x:c>
    </x:row>
    <x:row r="135" ht="32" customHeight="1">
      <x:c r="A135" s="2" t="str">
        <x:f>IF(COUNTA('Source'!A129:F129)=0,"",129)</x:f>
      </x:c>
      <x:c r="B135" s="2" t="str">
        <x:f>IF(A135="","",UPPER(TRIM('Source'!A129&amp;"")))</x:f>
      </x:c>
      <x:c r="C135" s="13" t="str">
        <x:f>IF(OR(A135="",ISBLANK('Source'!B129)),"",'Source'!B129)</x:f>
      </x:c>
      <x:c r="D135" s="2" t="str">
        <x:f>IF(A135="","",UPPER(TRIM('Source'!C129&amp;"")))</x:f>
      </x:c>
      <x:c r="E135" s="15" t="str">
        <x:f>IF(OR(A135="",ISBLANK('Source'!D129)),"",'Source'!D129)</x:f>
      </x:c>
      <x:c r="F135" s="15" t="str">
        <x:f>IF(OR(A135="",ISBLANK('Source'!E129)),"",'Source'!E129)</x:f>
      </x:c>
      <x:c r="G135" s="15" t="str">
        <x:f>IF(OR(A135="",ISBLANK('Source'!F129)),"",'Source'!F129)</x:f>
      </x:c>
      <x:c r="H135" s="2" t="str">
        <x:f>IF(A135="","",COUNTIFS($B$8:$B$213,B135))</x:f>
      </x:c>
      <x:c r="I135" s="11" t="str">
        <x:f>IF(A135="","",IF(B135="","Missing ID; ","")&amp;IF(AND(B135&lt;&gt;"",H135&gt;1),"Duplicate ID; ","")&amp;IF(ISNUMBER(C135),IF(OR(C135&lt;'Report'!$C$5,C135&gt;'Report'!$F$5),"Outside reporting period; ",""),"Invalid date; ")&amp;IF(COUNTIFS('Guide'!$B$24:$B$26,D135)=0,"Unknown team; ","")&amp;IF(ISNUMBER(E135),IF(E135&lt;0,"Negative effort; ",""),"Missing/non-numeric effort; ")&amp;IF(ISNUMBER(F135),IF(F135&lt;0,"Negative resolution; ",""),"Missing/non-numeric resolution; ")&amp;IF(ISNUMBER(G135),IF(G135&lt;=0,"Invalid SLA target; ",""),"Missing/non-numeric SLA target; "))</x:f>
      </x:c>
      <x:c r="J135" s="2" t="str">
        <x:f>IF(A135="","",IF(I135="","Included","Review"))</x:f>
      </x:c>
      <x:c r="K135" s="2" t="str">
        <x:f>IF(J135="Included",IF(F135&lt;=G135,1,0),"")</x:f>
      </x:c>
      <x:c r="L135" s="13" t="str">
        <x:f>IF(J135="Included",C135-WEEKDAY(C135,2)+1,"")</x:f>
      </x:c>
      <x:c r="M135" s="15" t="n">
        <x:f>IF(J135="Included",E135,0)</x:f>
        <x:v>0</x:v>
      </x:c>
      <x:c r="N135" s="15" t="n">
        <x:f>IF(J135="Included",F135,0)</x:f>
        <x:v>0</x:v>
      </x:c>
    </x:row>
    <x:row r="136" ht="32" customHeight="1">
      <x:c r="A136" s="2" t="str">
        <x:f>IF(COUNTA('Source'!A130:F130)=0,"",130)</x:f>
      </x:c>
      <x:c r="B136" s="2" t="str">
        <x:f>IF(A136="","",UPPER(TRIM('Source'!A130&amp;"")))</x:f>
      </x:c>
      <x:c r="C136" s="13" t="str">
        <x:f>IF(OR(A136="",ISBLANK('Source'!B130)),"",'Source'!B130)</x:f>
      </x:c>
      <x:c r="D136" s="2" t="str">
        <x:f>IF(A136="","",UPPER(TRIM('Source'!C130&amp;"")))</x:f>
      </x:c>
      <x:c r="E136" s="15" t="str">
        <x:f>IF(OR(A136="",ISBLANK('Source'!D130)),"",'Source'!D130)</x:f>
      </x:c>
      <x:c r="F136" s="15" t="str">
        <x:f>IF(OR(A136="",ISBLANK('Source'!E130)),"",'Source'!E130)</x:f>
      </x:c>
      <x:c r="G136" s="15" t="str">
        <x:f>IF(OR(A136="",ISBLANK('Source'!F130)),"",'Source'!F130)</x:f>
      </x:c>
      <x:c r="H136" s="2" t="str">
        <x:f>IF(A136="","",COUNTIFS($B$8:$B$213,B136))</x:f>
      </x:c>
      <x:c r="I136" s="11" t="str">
        <x:f>IF(A136="","",IF(B136="","Missing ID; ","")&amp;IF(AND(B136&lt;&gt;"",H136&gt;1),"Duplicate ID; ","")&amp;IF(ISNUMBER(C136),IF(OR(C136&lt;'Report'!$C$5,C136&gt;'Report'!$F$5),"Outside reporting period; ",""),"Invalid date; ")&amp;IF(COUNTIFS('Guide'!$B$24:$B$26,D136)=0,"Unknown team; ","")&amp;IF(ISNUMBER(E136),IF(E136&lt;0,"Negative effort; ",""),"Missing/non-numeric effort; ")&amp;IF(ISNUMBER(F136),IF(F136&lt;0,"Negative resolution; ",""),"Missing/non-numeric resolution; ")&amp;IF(ISNUMBER(G136),IF(G136&lt;=0,"Invalid SLA target; ",""),"Missing/non-numeric SLA target; "))</x:f>
      </x:c>
      <x:c r="J136" s="2" t="str">
        <x:f>IF(A136="","",IF(I136="","Included","Review"))</x:f>
      </x:c>
      <x:c r="K136" s="2" t="str">
        <x:f>IF(J136="Included",IF(F136&lt;=G136,1,0),"")</x:f>
      </x:c>
      <x:c r="L136" s="13" t="str">
        <x:f>IF(J136="Included",C136-WEEKDAY(C136,2)+1,"")</x:f>
      </x:c>
      <x:c r="M136" s="15" t="n">
        <x:f>IF(J136="Included",E136,0)</x:f>
        <x:v>0</x:v>
      </x:c>
      <x:c r="N136" s="15" t="n">
        <x:f>IF(J136="Included",F136,0)</x:f>
        <x:v>0</x:v>
      </x:c>
    </x:row>
    <x:row r="137" ht="32" customHeight="1">
      <x:c r="A137" s="2" t="str">
        <x:f>IF(COUNTA('Source'!A131:F131)=0,"",131)</x:f>
      </x:c>
      <x:c r="B137" s="2" t="str">
        <x:f>IF(A137="","",UPPER(TRIM('Source'!A131&amp;"")))</x:f>
      </x:c>
      <x:c r="C137" s="13" t="str">
        <x:f>IF(OR(A137="",ISBLANK('Source'!B131)),"",'Source'!B131)</x:f>
      </x:c>
      <x:c r="D137" s="2" t="str">
        <x:f>IF(A137="","",UPPER(TRIM('Source'!C131&amp;"")))</x:f>
      </x:c>
      <x:c r="E137" s="15" t="str">
        <x:f>IF(OR(A137="",ISBLANK('Source'!D131)),"",'Source'!D131)</x:f>
      </x:c>
      <x:c r="F137" s="15" t="str">
        <x:f>IF(OR(A137="",ISBLANK('Source'!E131)),"",'Source'!E131)</x:f>
      </x:c>
      <x:c r="G137" s="15" t="str">
        <x:f>IF(OR(A137="",ISBLANK('Source'!F131)),"",'Source'!F131)</x:f>
      </x:c>
      <x:c r="H137" s="2" t="str">
        <x:f>IF(A137="","",COUNTIFS($B$8:$B$213,B137))</x:f>
      </x:c>
      <x:c r="I137" s="11" t="str">
        <x:f>IF(A137="","",IF(B137="","Missing ID; ","")&amp;IF(AND(B137&lt;&gt;"",H137&gt;1),"Duplicate ID; ","")&amp;IF(ISNUMBER(C137),IF(OR(C137&lt;'Report'!$C$5,C137&gt;'Report'!$F$5),"Outside reporting period; ",""),"Invalid date; ")&amp;IF(COUNTIFS('Guide'!$B$24:$B$26,D137)=0,"Unknown team; ","")&amp;IF(ISNUMBER(E137),IF(E137&lt;0,"Negative effort; ",""),"Missing/non-numeric effort; ")&amp;IF(ISNUMBER(F137),IF(F137&lt;0,"Negative resolution; ",""),"Missing/non-numeric resolution; ")&amp;IF(ISNUMBER(G137),IF(G137&lt;=0,"Invalid SLA target; ",""),"Missing/non-numeric SLA target; "))</x:f>
      </x:c>
      <x:c r="J137" s="2" t="str">
        <x:f>IF(A137="","",IF(I137="","Included","Review"))</x:f>
      </x:c>
      <x:c r="K137" s="2" t="str">
        <x:f>IF(J137="Included",IF(F137&lt;=G137,1,0),"")</x:f>
      </x:c>
      <x:c r="L137" s="13" t="str">
        <x:f>IF(J137="Included",C137-WEEKDAY(C137,2)+1,"")</x:f>
      </x:c>
      <x:c r="M137" s="15" t="n">
        <x:f>IF(J137="Included",E137,0)</x:f>
        <x:v>0</x:v>
      </x:c>
      <x:c r="N137" s="15" t="n">
        <x:f>IF(J137="Included",F137,0)</x:f>
        <x:v>0</x:v>
      </x:c>
    </x:row>
    <x:row r="138" ht="32" customHeight="1">
      <x:c r="A138" s="2" t="str">
        <x:f>IF(COUNTA('Source'!A132:F132)=0,"",132)</x:f>
      </x:c>
      <x:c r="B138" s="2" t="str">
        <x:f>IF(A138="","",UPPER(TRIM('Source'!A132&amp;"")))</x:f>
      </x:c>
      <x:c r="C138" s="13" t="str">
        <x:f>IF(OR(A138="",ISBLANK('Source'!B132)),"",'Source'!B132)</x:f>
      </x:c>
      <x:c r="D138" s="2" t="str">
        <x:f>IF(A138="","",UPPER(TRIM('Source'!C132&amp;"")))</x:f>
      </x:c>
      <x:c r="E138" s="15" t="str">
        <x:f>IF(OR(A138="",ISBLANK('Source'!D132)),"",'Source'!D132)</x:f>
      </x:c>
      <x:c r="F138" s="15" t="str">
        <x:f>IF(OR(A138="",ISBLANK('Source'!E132)),"",'Source'!E132)</x:f>
      </x:c>
      <x:c r="G138" s="15" t="str">
        <x:f>IF(OR(A138="",ISBLANK('Source'!F132)),"",'Source'!F132)</x:f>
      </x:c>
      <x:c r="H138" s="2" t="str">
        <x:f>IF(A138="","",COUNTIFS($B$8:$B$213,B138))</x:f>
      </x:c>
      <x:c r="I138" s="11" t="str">
        <x:f>IF(A138="","",IF(B138="","Missing ID; ","")&amp;IF(AND(B138&lt;&gt;"",H138&gt;1),"Duplicate ID; ","")&amp;IF(ISNUMBER(C138),IF(OR(C138&lt;'Report'!$C$5,C138&gt;'Report'!$F$5),"Outside reporting period; ",""),"Invalid date; ")&amp;IF(COUNTIFS('Guide'!$B$24:$B$26,D138)=0,"Unknown team; ","")&amp;IF(ISNUMBER(E138),IF(E138&lt;0,"Negative effort; ",""),"Missing/non-numeric effort; ")&amp;IF(ISNUMBER(F138),IF(F138&lt;0,"Negative resolution; ",""),"Missing/non-numeric resolution; ")&amp;IF(ISNUMBER(G138),IF(G138&lt;=0,"Invalid SLA target; ",""),"Missing/non-numeric SLA target; "))</x:f>
      </x:c>
      <x:c r="J138" s="2" t="str">
        <x:f>IF(A138="","",IF(I138="","Included","Review"))</x:f>
      </x:c>
      <x:c r="K138" s="2" t="str">
        <x:f>IF(J138="Included",IF(F138&lt;=G138,1,0),"")</x:f>
      </x:c>
      <x:c r="L138" s="13" t="str">
        <x:f>IF(J138="Included",C138-WEEKDAY(C138,2)+1,"")</x:f>
      </x:c>
      <x:c r="M138" s="15" t="n">
        <x:f>IF(J138="Included",E138,0)</x:f>
        <x:v>0</x:v>
      </x:c>
      <x:c r="N138" s="15" t="n">
        <x:f>IF(J138="Included",F138,0)</x:f>
        <x:v>0</x:v>
      </x:c>
    </x:row>
    <x:row r="139" ht="32" customHeight="1">
      <x:c r="A139" s="2" t="str">
        <x:f>IF(COUNTA('Source'!A133:F133)=0,"",133)</x:f>
      </x:c>
      <x:c r="B139" s="2" t="str">
        <x:f>IF(A139="","",UPPER(TRIM('Source'!A133&amp;"")))</x:f>
      </x:c>
      <x:c r="C139" s="13" t="str">
        <x:f>IF(OR(A139="",ISBLANK('Source'!B133)),"",'Source'!B133)</x:f>
      </x:c>
      <x:c r="D139" s="2" t="str">
        <x:f>IF(A139="","",UPPER(TRIM('Source'!C133&amp;"")))</x:f>
      </x:c>
      <x:c r="E139" s="15" t="str">
        <x:f>IF(OR(A139="",ISBLANK('Source'!D133)),"",'Source'!D133)</x:f>
      </x:c>
      <x:c r="F139" s="15" t="str">
        <x:f>IF(OR(A139="",ISBLANK('Source'!E133)),"",'Source'!E133)</x:f>
      </x:c>
      <x:c r="G139" s="15" t="str">
        <x:f>IF(OR(A139="",ISBLANK('Source'!F133)),"",'Source'!F133)</x:f>
      </x:c>
      <x:c r="H139" s="2" t="str">
        <x:f>IF(A139="","",COUNTIFS($B$8:$B$213,B139))</x:f>
      </x:c>
      <x:c r="I139" s="11" t="str">
        <x:f>IF(A139="","",IF(B139="","Missing ID; ","")&amp;IF(AND(B139&lt;&gt;"",H139&gt;1),"Duplicate ID; ","")&amp;IF(ISNUMBER(C139),IF(OR(C139&lt;'Report'!$C$5,C139&gt;'Report'!$F$5),"Outside reporting period; ",""),"Invalid date; ")&amp;IF(COUNTIFS('Guide'!$B$24:$B$26,D139)=0,"Unknown team; ","")&amp;IF(ISNUMBER(E139),IF(E139&lt;0,"Negative effort; ",""),"Missing/non-numeric effort; ")&amp;IF(ISNUMBER(F139),IF(F139&lt;0,"Negative resolution; ",""),"Missing/non-numeric resolution; ")&amp;IF(ISNUMBER(G139),IF(G139&lt;=0,"Invalid SLA target; ",""),"Missing/non-numeric SLA target; "))</x:f>
      </x:c>
      <x:c r="J139" s="2" t="str">
        <x:f>IF(A139="","",IF(I139="","Included","Review"))</x:f>
      </x:c>
      <x:c r="K139" s="2" t="str">
        <x:f>IF(J139="Included",IF(F139&lt;=G139,1,0),"")</x:f>
      </x:c>
      <x:c r="L139" s="13" t="str">
        <x:f>IF(J139="Included",C139-WEEKDAY(C139,2)+1,"")</x:f>
      </x:c>
      <x:c r="M139" s="15" t="n">
        <x:f>IF(J139="Included",E139,0)</x:f>
        <x:v>0</x:v>
      </x:c>
      <x:c r="N139" s="15" t="n">
        <x:f>IF(J139="Included",F139,0)</x:f>
        <x:v>0</x:v>
      </x:c>
    </x:row>
    <x:row r="140" ht="32" customHeight="1">
      <x:c r="A140" s="2" t="str">
        <x:f>IF(COUNTA('Source'!A134:F134)=0,"",134)</x:f>
      </x:c>
      <x:c r="B140" s="2" t="str">
        <x:f>IF(A140="","",UPPER(TRIM('Source'!A134&amp;"")))</x:f>
      </x:c>
      <x:c r="C140" s="13" t="str">
        <x:f>IF(OR(A140="",ISBLANK('Source'!B134)),"",'Source'!B134)</x:f>
      </x:c>
      <x:c r="D140" s="2" t="str">
        <x:f>IF(A140="","",UPPER(TRIM('Source'!C134&amp;"")))</x:f>
      </x:c>
      <x:c r="E140" s="15" t="str">
        <x:f>IF(OR(A140="",ISBLANK('Source'!D134)),"",'Source'!D134)</x:f>
      </x:c>
      <x:c r="F140" s="15" t="str">
        <x:f>IF(OR(A140="",ISBLANK('Source'!E134)),"",'Source'!E134)</x:f>
      </x:c>
      <x:c r="G140" s="15" t="str">
        <x:f>IF(OR(A140="",ISBLANK('Source'!F134)),"",'Source'!F134)</x:f>
      </x:c>
      <x:c r="H140" s="2" t="str">
        <x:f>IF(A140="","",COUNTIFS($B$8:$B$213,B140))</x:f>
      </x:c>
      <x:c r="I140" s="11" t="str">
        <x:f>IF(A140="","",IF(B140="","Missing ID; ","")&amp;IF(AND(B140&lt;&gt;"",H140&gt;1),"Duplicate ID; ","")&amp;IF(ISNUMBER(C140),IF(OR(C140&lt;'Report'!$C$5,C140&gt;'Report'!$F$5),"Outside reporting period; ",""),"Invalid date; ")&amp;IF(COUNTIFS('Guide'!$B$24:$B$26,D140)=0,"Unknown team; ","")&amp;IF(ISNUMBER(E140),IF(E140&lt;0,"Negative effort; ",""),"Missing/non-numeric effort; ")&amp;IF(ISNUMBER(F140),IF(F140&lt;0,"Negative resolution; ",""),"Missing/non-numeric resolution; ")&amp;IF(ISNUMBER(G140),IF(G140&lt;=0,"Invalid SLA target; ",""),"Missing/non-numeric SLA target; "))</x:f>
      </x:c>
      <x:c r="J140" s="2" t="str">
        <x:f>IF(A140="","",IF(I140="","Included","Review"))</x:f>
      </x:c>
      <x:c r="K140" s="2" t="str">
        <x:f>IF(J140="Included",IF(F140&lt;=G140,1,0),"")</x:f>
      </x:c>
      <x:c r="L140" s="13" t="str">
        <x:f>IF(J140="Included",C140-WEEKDAY(C140,2)+1,"")</x:f>
      </x:c>
      <x:c r="M140" s="15" t="n">
        <x:f>IF(J140="Included",E140,0)</x:f>
        <x:v>0</x:v>
      </x:c>
      <x:c r="N140" s="15" t="n">
        <x:f>IF(J140="Included",F140,0)</x:f>
        <x:v>0</x:v>
      </x:c>
    </x:row>
    <x:row r="141" ht="32" customHeight="1">
      <x:c r="A141" s="2" t="str">
        <x:f>IF(COUNTA('Source'!A135:F135)=0,"",135)</x:f>
      </x:c>
      <x:c r="B141" s="2" t="str">
        <x:f>IF(A141="","",UPPER(TRIM('Source'!A135&amp;"")))</x:f>
      </x:c>
      <x:c r="C141" s="13" t="str">
        <x:f>IF(OR(A141="",ISBLANK('Source'!B135)),"",'Source'!B135)</x:f>
      </x:c>
      <x:c r="D141" s="2" t="str">
        <x:f>IF(A141="","",UPPER(TRIM('Source'!C135&amp;"")))</x:f>
      </x:c>
      <x:c r="E141" s="15" t="str">
        <x:f>IF(OR(A141="",ISBLANK('Source'!D135)),"",'Source'!D135)</x:f>
      </x:c>
      <x:c r="F141" s="15" t="str">
        <x:f>IF(OR(A141="",ISBLANK('Source'!E135)),"",'Source'!E135)</x:f>
      </x:c>
      <x:c r="G141" s="15" t="str">
        <x:f>IF(OR(A141="",ISBLANK('Source'!F135)),"",'Source'!F135)</x:f>
      </x:c>
      <x:c r="H141" s="2" t="str">
        <x:f>IF(A141="","",COUNTIFS($B$8:$B$213,B141))</x:f>
      </x:c>
      <x:c r="I141" s="11" t="str">
        <x:f>IF(A141="","",IF(B141="","Missing ID; ","")&amp;IF(AND(B141&lt;&gt;"",H141&gt;1),"Duplicate ID; ","")&amp;IF(ISNUMBER(C141),IF(OR(C141&lt;'Report'!$C$5,C141&gt;'Report'!$F$5),"Outside reporting period; ",""),"Invalid date; ")&amp;IF(COUNTIFS('Guide'!$B$24:$B$26,D141)=0,"Unknown team; ","")&amp;IF(ISNUMBER(E141),IF(E141&lt;0,"Negative effort; ",""),"Missing/non-numeric effort; ")&amp;IF(ISNUMBER(F141),IF(F141&lt;0,"Negative resolution; ",""),"Missing/non-numeric resolution; ")&amp;IF(ISNUMBER(G141),IF(G141&lt;=0,"Invalid SLA target; ",""),"Missing/non-numeric SLA target; "))</x:f>
      </x:c>
      <x:c r="J141" s="2" t="str">
        <x:f>IF(A141="","",IF(I141="","Included","Review"))</x:f>
      </x:c>
      <x:c r="K141" s="2" t="str">
        <x:f>IF(J141="Included",IF(F141&lt;=G141,1,0),"")</x:f>
      </x:c>
      <x:c r="L141" s="13" t="str">
        <x:f>IF(J141="Included",C141-WEEKDAY(C141,2)+1,"")</x:f>
      </x:c>
      <x:c r="M141" s="15" t="n">
        <x:f>IF(J141="Included",E141,0)</x:f>
        <x:v>0</x:v>
      </x:c>
      <x:c r="N141" s="15" t="n">
        <x:f>IF(J141="Included",F141,0)</x:f>
        <x:v>0</x:v>
      </x:c>
    </x:row>
    <x:row r="142" ht="32" customHeight="1">
      <x:c r="A142" s="2" t="str">
        <x:f>IF(COUNTA('Source'!A136:F136)=0,"",136)</x:f>
      </x:c>
      <x:c r="B142" s="2" t="str">
        <x:f>IF(A142="","",UPPER(TRIM('Source'!A136&amp;"")))</x:f>
      </x:c>
      <x:c r="C142" s="13" t="str">
        <x:f>IF(OR(A142="",ISBLANK('Source'!B136)),"",'Source'!B136)</x:f>
      </x:c>
      <x:c r="D142" s="2" t="str">
        <x:f>IF(A142="","",UPPER(TRIM('Source'!C136&amp;"")))</x:f>
      </x:c>
      <x:c r="E142" s="15" t="str">
        <x:f>IF(OR(A142="",ISBLANK('Source'!D136)),"",'Source'!D136)</x:f>
      </x:c>
      <x:c r="F142" s="15" t="str">
        <x:f>IF(OR(A142="",ISBLANK('Source'!E136)),"",'Source'!E136)</x:f>
      </x:c>
      <x:c r="G142" s="15" t="str">
        <x:f>IF(OR(A142="",ISBLANK('Source'!F136)),"",'Source'!F136)</x:f>
      </x:c>
      <x:c r="H142" s="2" t="str">
        <x:f>IF(A142="","",COUNTIFS($B$8:$B$213,B142))</x:f>
      </x:c>
      <x:c r="I142" s="11" t="str">
        <x:f>IF(A142="","",IF(B142="","Missing ID; ","")&amp;IF(AND(B142&lt;&gt;"",H142&gt;1),"Duplicate ID; ","")&amp;IF(ISNUMBER(C142),IF(OR(C142&lt;'Report'!$C$5,C142&gt;'Report'!$F$5),"Outside reporting period; ",""),"Invalid date; ")&amp;IF(COUNTIFS('Guide'!$B$24:$B$26,D142)=0,"Unknown team; ","")&amp;IF(ISNUMBER(E142),IF(E142&lt;0,"Negative effort; ",""),"Missing/non-numeric effort; ")&amp;IF(ISNUMBER(F142),IF(F142&lt;0,"Negative resolution; ",""),"Missing/non-numeric resolution; ")&amp;IF(ISNUMBER(G142),IF(G142&lt;=0,"Invalid SLA target; ",""),"Missing/non-numeric SLA target; "))</x:f>
      </x:c>
      <x:c r="J142" s="2" t="str">
        <x:f>IF(A142="","",IF(I142="","Included","Review"))</x:f>
      </x:c>
      <x:c r="K142" s="2" t="str">
        <x:f>IF(J142="Included",IF(F142&lt;=G142,1,0),"")</x:f>
      </x:c>
      <x:c r="L142" s="13" t="str">
        <x:f>IF(J142="Included",C142-WEEKDAY(C142,2)+1,"")</x:f>
      </x:c>
      <x:c r="M142" s="15" t="n">
        <x:f>IF(J142="Included",E142,0)</x:f>
        <x:v>0</x:v>
      </x:c>
      <x:c r="N142" s="15" t="n">
        <x:f>IF(J142="Included",F142,0)</x:f>
        <x:v>0</x:v>
      </x:c>
    </x:row>
    <x:row r="143" ht="32" customHeight="1">
      <x:c r="A143" s="2" t="str">
        <x:f>IF(COUNTA('Source'!A137:F137)=0,"",137)</x:f>
      </x:c>
      <x:c r="B143" s="2" t="str">
        <x:f>IF(A143="","",UPPER(TRIM('Source'!A137&amp;"")))</x:f>
      </x:c>
      <x:c r="C143" s="13" t="str">
        <x:f>IF(OR(A143="",ISBLANK('Source'!B137)),"",'Source'!B137)</x:f>
      </x:c>
      <x:c r="D143" s="2" t="str">
        <x:f>IF(A143="","",UPPER(TRIM('Source'!C137&amp;"")))</x:f>
      </x:c>
      <x:c r="E143" s="15" t="str">
        <x:f>IF(OR(A143="",ISBLANK('Source'!D137)),"",'Source'!D137)</x:f>
      </x:c>
      <x:c r="F143" s="15" t="str">
        <x:f>IF(OR(A143="",ISBLANK('Source'!E137)),"",'Source'!E137)</x:f>
      </x:c>
      <x:c r="G143" s="15" t="str">
        <x:f>IF(OR(A143="",ISBLANK('Source'!F137)),"",'Source'!F137)</x:f>
      </x:c>
      <x:c r="H143" s="2" t="str">
        <x:f>IF(A143="","",COUNTIFS($B$8:$B$213,B143))</x:f>
      </x:c>
      <x:c r="I143" s="11" t="str">
        <x:f>IF(A143="","",IF(B143="","Missing ID; ","")&amp;IF(AND(B143&lt;&gt;"",H143&gt;1),"Duplicate ID; ","")&amp;IF(ISNUMBER(C143),IF(OR(C143&lt;'Report'!$C$5,C143&gt;'Report'!$F$5),"Outside reporting period; ",""),"Invalid date; ")&amp;IF(COUNTIFS('Guide'!$B$24:$B$26,D143)=0,"Unknown team; ","")&amp;IF(ISNUMBER(E143),IF(E143&lt;0,"Negative effort; ",""),"Missing/non-numeric effort; ")&amp;IF(ISNUMBER(F143),IF(F143&lt;0,"Negative resolution; ",""),"Missing/non-numeric resolution; ")&amp;IF(ISNUMBER(G143),IF(G143&lt;=0,"Invalid SLA target; ",""),"Missing/non-numeric SLA target; "))</x:f>
      </x:c>
      <x:c r="J143" s="2" t="str">
        <x:f>IF(A143="","",IF(I143="","Included","Review"))</x:f>
      </x:c>
      <x:c r="K143" s="2" t="str">
        <x:f>IF(J143="Included",IF(F143&lt;=G143,1,0),"")</x:f>
      </x:c>
      <x:c r="L143" s="13" t="str">
        <x:f>IF(J143="Included",C143-WEEKDAY(C143,2)+1,"")</x:f>
      </x:c>
      <x:c r="M143" s="15" t="n">
        <x:f>IF(J143="Included",E143,0)</x:f>
        <x:v>0</x:v>
      </x:c>
      <x:c r="N143" s="15" t="n">
        <x:f>IF(J143="Included",F143,0)</x:f>
        <x:v>0</x:v>
      </x:c>
    </x:row>
    <x:row r="144" ht="32" customHeight="1">
      <x:c r="A144" s="2" t="str">
        <x:f>IF(COUNTA('Source'!A138:F138)=0,"",138)</x:f>
      </x:c>
      <x:c r="B144" s="2" t="str">
        <x:f>IF(A144="","",UPPER(TRIM('Source'!A138&amp;"")))</x:f>
      </x:c>
      <x:c r="C144" s="13" t="str">
        <x:f>IF(OR(A144="",ISBLANK('Source'!B138)),"",'Source'!B138)</x:f>
      </x:c>
      <x:c r="D144" s="2" t="str">
        <x:f>IF(A144="","",UPPER(TRIM('Source'!C138&amp;"")))</x:f>
      </x:c>
      <x:c r="E144" s="15" t="str">
        <x:f>IF(OR(A144="",ISBLANK('Source'!D138)),"",'Source'!D138)</x:f>
      </x:c>
      <x:c r="F144" s="15" t="str">
        <x:f>IF(OR(A144="",ISBLANK('Source'!E138)),"",'Source'!E138)</x:f>
      </x:c>
      <x:c r="G144" s="15" t="str">
        <x:f>IF(OR(A144="",ISBLANK('Source'!F138)),"",'Source'!F138)</x:f>
      </x:c>
      <x:c r="H144" s="2" t="str">
        <x:f>IF(A144="","",COUNTIFS($B$8:$B$213,B144))</x:f>
      </x:c>
      <x:c r="I144" s="11" t="str">
        <x:f>IF(A144="","",IF(B144="","Missing ID; ","")&amp;IF(AND(B144&lt;&gt;"",H144&gt;1),"Duplicate ID; ","")&amp;IF(ISNUMBER(C144),IF(OR(C144&lt;'Report'!$C$5,C144&gt;'Report'!$F$5),"Outside reporting period; ",""),"Invalid date; ")&amp;IF(COUNTIFS('Guide'!$B$24:$B$26,D144)=0,"Unknown team; ","")&amp;IF(ISNUMBER(E144),IF(E144&lt;0,"Negative effort; ",""),"Missing/non-numeric effort; ")&amp;IF(ISNUMBER(F144),IF(F144&lt;0,"Negative resolution; ",""),"Missing/non-numeric resolution; ")&amp;IF(ISNUMBER(G144),IF(G144&lt;=0,"Invalid SLA target; ",""),"Missing/non-numeric SLA target; "))</x:f>
      </x:c>
      <x:c r="J144" s="2" t="str">
        <x:f>IF(A144="","",IF(I144="","Included","Review"))</x:f>
      </x:c>
      <x:c r="K144" s="2" t="str">
        <x:f>IF(J144="Included",IF(F144&lt;=G144,1,0),"")</x:f>
      </x:c>
      <x:c r="L144" s="13" t="str">
        <x:f>IF(J144="Included",C144-WEEKDAY(C144,2)+1,"")</x:f>
      </x:c>
      <x:c r="M144" s="15" t="n">
        <x:f>IF(J144="Included",E144,0)</x:f>
        <x:v>0</x:v>
      </x:c>
      <x:c r="N144" s="15" t="n">
        <x:f>IF(J144="Included",F144,0)</x:f>
        <x:v>0</x:v>
      </x:c>
    </x:row>
    <x:row r="145" ht="32" customHeight="1">
      <x:c r="A145" s="2" t="str">
        <x:f>IF(COUNTA('Source'!A139:F139)=0,"",139)</x:f>
      </x:c>
      <x:c r="B145" s="2" t="str">
        <x:f>IF(A145="","",UPPER(TRIM('Source'!A139&amp;"")))</x:f>
      </x:c>
      <x:c r="C145" s="13" t="str">
        <x:f>IF(OR(A145="",ISBLANK('Source'!B139)),"",'Source'!B139)</x:f>
      </x:c>
      <x:c r="D145" s="2" t="str">
        <x:f>IF(A145="","",UPPER(TRIM('Source'!C139&amp;"")))</x:f>
      </x:c>
      <x:c r="E145" s="15" t="str">
        <x:f>IF(OR(A145="",ISBLANK('Source'!D139)),"",'Source'!D139)</x:f>
      </x:c>
      <x:c r="F145" s="15" t="str">
        <x:f>IF(OR(A145="",ISBLANK('Source'!E139)),"",'Source'!E139)</x:f>
      </x:c>
      <x:c r="G145" s="15" t="str">
        <x:f>IF(OR(A145="",ISBLANK('Source'!F139)),"",'Source'!F139)</x:f>
      </x:c>
      <x:c r="H145" s="2" t="str">
        <x:f>IF(A145="","",COUNTIFS($B$8:$B$213,B145))</x:f>
      </x:c>
      <x:c r="I145" s="11" t="str">
        <x:f>IF(A145="","",IF(B145="","Missing ID; ","")&amp;IF(AND(B145&lt;&gt;"",H145&gt;1),"Duplicate ID; ","")&amp;IF(ISNUMBER(C145),IF(OR(C145&lt;'Report'!$C$5,C145&gt;'Report'!$F$5),"Outside reporting period; ",""),"Invalid date; ")&amp;IF(COUNTIFS('Guide'!$B$24:$B$26,D145)=0,"Unknown team; ","")&amp;IF(ISNUMBER(E145),IF(E145&lt;0,"Negative effort; ",""),"Missing/non-numeric effort; ")&amp;IF(ISNUMBER(F145),IF(F145&lt;0,"Negative resolution; ",""),"Missing/non-numeric resolution; ")&amp;IF(ISNUMBER(G145),IF(G145&lt;=0,"Invalid SLA target; ",""),"Missing/non-numeric SLA target; "))</x:f>
      </x:c>
      <x:c r="J145" s="2" t="str">
        <x:f>IF(A145="","",IF(I145="","Included","Review"))</x:f>
      </x:c>
      <x:c r="K145" s="2" t="str">
        <x:f>IF(J145="Included",IF(F145&lt;=G145,1,0),"")</x:f>
      </x:c>
      <x:c r="L145" s="13" t="str">
        <x:f>IF(J145="Included",C145-WEEKDAY(C145,2)+1,"")</x:f>
      </x:c>
      <x:c r="M145" s="15" t="n">
        <x:f>IF(J145="Included",E145,0)</x:f>
        <x:v>0</x:v>
      </x:c>
      <x:c r="N145" s="15" t="n">
        <x:f>IF(J145="Included",F145,0)</x:f>
        <x:v>0</x:v>
      </x:c>
    </x:row>
    <x:row r="146" ht="32" customHeight="1">
      <x:c r="A146" s="2" t="str">
        <x:f>IF(COUNTA('Source'!A140:F140)=0,"",140)</x:f>
      </x:c>
      <x:c r="B146" s="2" t="str">
        <x:f>IF(A146="","",UPPER(TRIM('Source'!A140&amp;"")))</x:f>
      </x:c>
      <x:c r="C146" s="13" t="str">
        <x:f>IF(OR(A146="",ISBLANK('Source'!B140)),"",'Source'!B140)</x:f>
      </x:c>
      <x:c r="D146" s="2" t="str">
        <x:f>IF(A146="","",UPPER(TRIM('Source'!C140&amp;"")))</x:f>
      </x:c>
      <x:c r="E146" s="15" t="str">
        <x:f>IF(OR(A146="",ISBLANK('Source'!D140)),"",'Source'!D140)</x:f>
      </x:c>
      <x:c r="F146" s="15" t="str">
        <x:f>IF(OR(A146="",ISBLANK('Source'!E140)),"",'Source'!E140)</x:f>
      </x:c>
      <x:c r="G146" s="15" t="str">
        <x:f>IF(OR(A146="",ISBLANK('Source'!F140)),"",'Source'!F140)</x:f>
      </x:c>
      <x:c r="H146" s="2" t="str">
        <x:f>IF(A146="","",COUNTIFS($B$8:$B$213,B146))</x:f>
      </x:c>
      <x:c r="I146" s="11" t="str">
        <x:f>IF(A146="","",IF(B146="","Missing ID; ","")&amp;IF(AND(B146&lt;&gt;"",H146&gt;1),"Duplicate ID; ","")&amp;IF(ISNUMBER(C146),IF(OR(C146&lt;'Report'!$C$5,C146&gt;'Report'!$F$5),"Outside reporting period; ",""),"Invalid date; ")&amp;IF(COUNTIFS('Guide'!$B$24:$B$26,D146)=0,"Unknown team; ","")&amp;IF(ISNUMBER(E146),IF(E146&lt;0,"Negative effort; ",""),"Missing/non-numeric effort; ")&amp;IF(ISNUMBER(F146),IF(F146&lt;0,"Negative resolution; ",""),"Missing/non-numeric resolution; ")&amp;IF(ISNUMBER(G146),IF(G146&lt;=0,"Invalid SLA target; ",""),"Missing/non-numeric SLA target; "))</x:f>
      </x:c>
      <x:c r="J146" s="2" t="str">
        <x:f>IF(A146="","",IF(I146="","Included","Review"))</x:f>
      </x:c>
      <x:c r="K146" s="2" t="str">
        <x:f>IF(J146="Included",IF(F146&lt;=G146,1,0),"")</x:f>
      </x:c>
      <x:c r="L146" s="13" t="str">
        <x:f>IF(J146="Included",C146-WEEKDAY(C146,2)+1,"")</x:f>
      </x:c>
      <x:c r="M146" s="15" t="n">
        <x:f>IF(J146="Included",E146,0)</x:f>
        <x:v>0</x:v>
      </x:c>
      <x:c r="N146" s="15" t="n">
        <x:f>IF(J146="Included",F146,0)</x:f>
        <x:v>0</x:v>
      </x:c>
    </x:row>
    <x:row r="147" ht="32" customHeight="1">
      <x:c r="A147" s="2" t="str">
        <x:f>IF(COUNTA('Source'!A141:F141)=0,"",141)</x:f>
      </x:c>
      <x:c r="B147" s="2" t="str">
        <x:f>IF(A147="","",UPPER(TRIM('Source'!A141&amp;"")))</x:f>
      </x:c>
      <x:c r="C147" s="13" t="str">
        <x:f>IF(OR(A147="",ISBLANK('Source'!B141)),"",'Source'!B141)</x:f>
      </x:c>
      <x:c r="D147" s="2" t="str">
        <x:f>IF(A147="","",UPPER(TRIM('Source'!C141&amp;"")))</x:f>
      </x:c>
      <x:c r="E147" s="15" t="str">
        <x:f>IF(OR(A147="",ISBLANK('Source'!D141)),"",'Source'!D141)</x:f>
      </x:c>
      <x:c r="F147" s="15" t="str">
        <x:f>IF(OR(A147="",ISBLANK('Source'!E141)),"",'Source'!E141)</x:f>
      </x:c>
      <x:c r="G147" s="15" t="str">
        <x:f>IF(OR(A147="",ISBLANK('Source'!F141)),"",'Source'!F141)</x:f>
      </x:c>
      <x:c r="H147" s="2" t="str">
        <x:f>IF(A147="","",COUNTIFS($B$8:$B$213,B147))</x:f>
      </x:c>
      <x:c r="I147" s="11" t="str">
        <x:f>IF(A147="","",IF(B147="","Missing ID; ","")&amp;IF(AND(B147&lt;&gt;"",H147&gt;1),"Duplicate ID; ","")&amp;IF(ISNUMBER(C147),IF(OR(C147&lt;'Report'!$C$5,C147&gt;'Report'!$F$5),"Outside reporting period; ",""),"Invalid date; ")&amp;IF(COUNTIFS('Guide'!$B$24:$B$26,D147)=0,"Unknown team; ","")&amp;IF(ISNUMBER(E147),IF(E147&lt;0,"Negative effort; ",""),"Missing/non-numeric effort; ")&amp;IF(ISNUMBER(F147),IF(F147&lt;0,"Negative resolution; ",""),"Missing/non-numeric resolution; ")&amp;IF(ISNUMBER(G147),IF(G147&lt;=0,"Invalid SLA target; ",""),"Missing/non-numeric SLA target; "))</x:f>
      </x:c>
      <x:c r="J147" s="2" t="str">
        <x:f>IF(A147="","",IF(I147="","Included","Review"))</x:f>
      </x:c>
      <x:c r="K147" s="2" t="str">
        <x:f>IF(J147="Included",IF(F147&lt;=G147,1,0),"")</x:f>
      </x:c>
      <x:c r="L147" s="13" t="str">
        <x:f>IF(J147="Included",C147-WEEKDAY(C147,2)+1,"")</x:f>
      </x:c>
      <x:c r="M147" s="15" t="n">
        <x:f>IF(J147="Included",E147,0)</x:f>
        <x:v>0</x:v>
      </x:c>
      <x:c r="N147" s="15" t="n">
        <x:f>IF(J147="Included",F147,0)</x:f>
        <x:v>0</x:v>
      </x:c>
    </x:row>
    <x:row r="148" ht="32" customHeight="1">
      <x:c r="A148" s="2" t="str">
        <x:f>IF(COUNTA('Source'!A142:F142)=0,"",142)</x:f>
      </x:c>
      <x:c r="B148" s="2" t="str">
        <x:f>IF(A148="","",UPPER(TRIM('Source'!A142&amp;"")))</x:f>
      </x:c>
      <x:c r="C148" s="13" t="str">
        <x:f>IF(OR(A148="",ISBLANK('Source'!B142)),"",'Source'!B142)</x:f>
      </x:c>
      <x:c r="D148" s="2" t="str">
        <x:f>IF(A148="","",UPPER(TRIM('Source'!C142&amp;"")))</x:f>
      </x:c>
      <x:c r="E148" s="15" t="str">
        <x:f>IF(OR(A148="",ISBLANK('Source'!D142)),"",'Source'!D142)</x:f>
      </x:c>
      <x:c r="F148" s="15" t="str">
        <x:f>IF(OR(A148="",ISBLANK('Source'!E142)),"",'Source'!E142)</x:f>
      </x:c>
      <x:c r="G148" s="15" t="str">
        <x:f>IF(OR(A148="",ISBLANK('Source'!F142)),"",'Source'!F142)</x:f>
      </x:c>
      <x:c r="H148" s="2" t="str">
        <x:f>IF(A148="","",COUNTIFS($B$8:$B$213,B148))</x:f>
      </x:c>
      <x:c r="I148" s="11" t="str">
        <x:f>IF(A148="","",IF(B148="","Missing ID; ","")&amp;IF(AND(B148&lt;&gt;"",H148&gt;1),"Duplicate ID; ","")&amp;IF(ISNUMBER(C148),IF(OR(C148&lt;'Report'!$C$5,C148&gt;'Report'!$F$5),"Outside reporting period; ",""),"Invalid date; ")&amp;IF(COUNTIFS('Guide'!$B$24:$B$26,D148)=0,"Unknown team; ","")&amp;IF(ISNUMBER(E148),IF(E148&lt;0,"Negative effort; ",""),"Missing/non-numeric effort; ")&amp;IF(ISNUMBER(F148),IF(F148&lt;0,"Negative resolution; ",""),"Missing/non-numeric resolution; ")&amp;IF(ISNUMBER(G148),IF(G148&lt;=0,"Invalid SLA target; ",""),"Missing/non-numeric SLA target; "))</x:f>
      </x:c>
      <x:c r="J148" s="2" t="str">
        <x:f>IF(A148="","",IF(I148="","Included","Review"))</x:f>
      </x:c>
      <x:c r="K148" s="2" t="str">
        <x:f>IF(J148="Included",IF(F148&lt;=G148,1,0),"")</x:f>
      </x:c>
      <x:c r="L148" s="13" t="str">
        <x:f>IF(J148="Included",C148-WEEKDAY(C148,2)+1,"")</x:f>
      </x:c>
      <x:c r="M148" s="15" t="n">
        <x:f>IF(J148="Included",E148,0)</x:f>
        <x:v>0</x:v>
      </x:c>
      <x:c r="N148" s="15" t="n">
        <x:f>IF(J148="Included",F148,0)</x:f>
        <x:v>0</x:v>
      </x:c>
    </x:row>
    <x:row r="149" ht="32" customHeight="1">
      <x:c r="A149" s="2" t="str">
        <x:f>IF(COUNTA('Source'!A143:F143)=0,"",143)</x:f>
      </x:c>
      <x:c r="B149" s="2" t="str">
        <x:f>IF(A149="","",UPPER(TRIM('Source'!A143&amp;"")))</x:f>
      </x:c>
      <x:c r="C149" s="13" t="str">
        <x:f>IF(OR(A149="",ISBLANK('Source'!B143)),"",'Source'!B143)</x:f>
      </x:c>
      <x:c r="D149" s="2" t="str">
        <x:f>IF(A149="","",UPPER(TRIM('Source'!C143&amp;"")))</x:f>
      </x:c>
      <x:c r="E149" s="15" t="str">
        <x:f>IF(OR(A149="",ISBLANK('Source'!D143)),"",'Source'!D143)</x:f>
      </x:c>
      <x:c r="F149" s="15" t="str">
        <x:f>IF(OR(A149="",ISBLANK('Source'!E143)),"",'Source'!E143)</x:f>
      </x:c>
      <x:c r="G149" s="15" t="str">
        <x:f>IF(OR(A149="",ISBLANK('Source'!F143)),"",'Source'!F143)</x:f>
      </x:c>
      <x:c r="H149" s="2" t="str">
        <x:f>IF(A149="","",COUNTIFS($B$8:$B$213,B149))</x:f>
      </x:c>
      <x:c r="I149" s="11" t="str">
        <x:f>IF(A149="","",IF(B149="","Missing ID; ","")&amp;IF(AND(B149&lt;&gt;"",H149&gt;1),"Duplicate ID; ","")&amp;IF(ISNUMBER(C149),IF(OR(C149&lt;'Report'!$C$5,C149&gt;'Report'!$F$5),"Outside reporting period; ",""),"Invalid date; ")&amp;IF(COUNTIFS('Guide'!$B$24:$B$26,D149)=0,"Unknown team; ","")&amp;IF(ISNUMBER(E149),IF(E149&lt;0,"Negative effort; ",""),"Missing/non-numeric effort; ")&amp;IF(ISNUMBER(F149),IF(F149&lt;0,"Negative resolution; ",""),"Missing/non-numeric resolution; ")&amp;IF(ISNUMBER(G149),IF(G149&lt;=0,"Invalid SLA target; ",""),"Missing/non-numeric SLA target; "))</x:f>
      </x:c>
      <x:c r="J149" s="2" t="str">
        <x:f>IF(A149="","",IF(I149="","Included","Review"))</x:f>
      </x:c>
      <x:c r="K149" s="2" t="str">
        <x:f>IF(J149="Included",IF(F149&lt;=G149,1,0),"")</x:f>
      </x:c>
      <x:c r="L149" s="13" t="str">
        <x:f>IF(J149="Included",C149-WEEKDAY(C149,2)+1,"")</x:f>
      </x:c>
      <x:c r="M149" s="15" t="n">
        <x:f>IF(J149="Included",E149,0)</x:f>
        <x:v>0</x:v>
      </x:c>
      <x:c r="N149" s="15" t="n">
        <x:f>IF(J149="Included",F149,0)</x:f>
        <x:v>0</x:v>
      </x:c>
    </x:row>
    <x:row r="150" ht="32" customHeight="1">
      <x:c r="A150" s="2" t="str">
        <x:f>IF(COUNTA('Source'!A144:F144)=0,"",144)</x:f>
      </x:c>
      <x:c r="B150" s="2" t="str">
        <x:f>IF(A150="","",UPPER(TRIM('Source'!A144&amp;"")))</x:f>
      </x:c>
      <x:c r="C150" s="13" t="str">
        <x:f>IF(OR(A150="",ISBLANK('Source'!B144)),"",'Source'!B144)</x:f>
      </x:c>
      <x:c r="D150" s="2" t="str">
        <x:f>IF(A150="","",UPPER(TRIM('Source'!C144&amp;"")))</x:f>
      </x:c>
      <x:c r="E150" s="15" t="str">
        <x:f>IF(OR(A150="",ISBLANK('Source'!D144)),"",'Source'!D144)</x:f>
      </x:c>
      <x:c r="F150" s="15" t="str">
        <x:f>IF(OR(A150="",ISBLANK('Source'!E144)),"",'Source'!E144)</x:f>
      </x:c>
      <x:c r="G150" s="15" t="str">
        <x:f>IF(OR(A150="",ISBLANK('Source'!F144)),"",'Source'!F144)</x:f>
      </x:c>
      <x:c r="H150" s="2" t="str">
        <x:f>IF(A150="","",COUNTIFS($B$8:$B$213,B150))</x:f>
      </x:c>
      <x:c r="I150" s="11" t="str">
        <x:f>IF(A150="","",IF(B150="","Missing ID; ","")&amp;IF(AND(B150&lt;&gt;"",H150&gt;1),"Duplicate ID; ","")&amp;IF(ISNUMBER(C150),IF(OR(C150&lt;'Report'!$C$5,C150&gt;'Report'!$F$5),"Outside reporting period; ",""),"Invalid date; ")&amp;IF(COUNTIFS('Guide'!$B$24:$B$26,D150)=0,"Unknown team; ","")&amp;IF(ISNUMBER(E150),IF(E150&lt;0,"Negative effort; ",""),"Missing/non-numeric effort; ")&amp;IF(ISNUMBER(F150),IF(F150&lt;0,"Negative resolution; ",""),"Missing/non-numeric resolution; ")&amp;IF(ISNUMBER(G150),IF(G150&lt;=0,"Invalid SLA target; ",""),"Missing/non-numeric SLA target; "))</x:f>
      </x:c>
      <x:c r="J150" s="2" t="str">
        <x:f>IF(A150="","",IF(I150="","Included","Review"))</x:f>
      </x:c>
      <x:c r="K150" s="2" t="str">
        <x:f>IF(J150="Included",IF(F150&lt;=G150,1,0),"")</x:f>
      </x:c>
      <x:c r="L150" s="13" t="str">
        <x:f>IF(J150="Included",C150-WEEKDAY(C150,2)+1,"")</x:f>
      </x:c>
      <x:c r="M150" s="15" t="n">
        <x:f>IF(J150="Included",E150,0)</x:f>
        <x:v>0</x:v>
      </x:c>
      <x:c r="N150" s="15" t="n">
        <x:f>IF(J150="Included",F150,0)</x:f>
        <x:v>0</x:v>
      </x:c>
    </x:row>
    <x:row r="151" ht="32" customHeight="1">
      <x:c r="A151" s="2" t="str">
        <x:f>IF(COUNTA('Source'!A145:F145)=0,"",145)</x:f>
      </x:c>
      <x:c r="B151" s="2" t="str">
        <x:f>IF(A151="","",UPPER(TRIM('Source'!A145&amp;"")))</x:f>
      </x:c>
      <x:c r="C151" s="13" t="str">
        <x:f>IF(OR(A151="",ISBLANK('Source'!B145)),"",'Source'!B145)</x:f>
      </x:c>
      <x:c r="D151" s="2" t="str">
        <x:f>IF(A151="","",UPPER(TRIM('Source'!C145&amp;"")))</x:f>
      </x:c>
      <x:c r="E151" s="15" t="str">
        <x:f>IF(OR(A151="",ISBLANK('Source'!D145)),"",'Source'!D145)</x:f>
      </x:c>
      <x:c r="F151" s="15" t="str">
        <x:f>IF(OR(A151="",ISBLANK('Source'!E145)),"",'Source'!E145)</x:f>
      </x:c>
      <x:c r="G151" s="15" t="str">
        <x:f>IF(OR(A151="",ISBLANK('Source'!F145)),"",'Source'!F145)</x:f>
      </x:c>
      <x:c r="H151" s="2" t="str">
        <x:f>IF(A151="","",COUNTIFS($B$8:$B$213,B151))</x:f>
      </x:c>
      <x:c r="I151" s="11" t="str">
        <x:f>IF(A151="","",IF(B151="","Missing ID; ","")&amp;IF(AND(B151&lt;&gt;"",H151&gt;1),"Duplicate ID; ","")&amp;IF(ISNUMBER(C151),IF(OR(C151&lt;'Report'!$C$5,C151&gt;'Report'!$F$5),"Outside reporting period; ",""),"Invalid date; ")&amp;IF(COUNTIFS('Guide'!$B$24:$B$26,D151)=0,"Unknown team; ","")&amp;IF(ISNUMBER(E151),IF(E151&lt;0,"Negative effort; ",""),"Missing/non-numeric effort; ")&amp;IF(ISNUMBER(F151),IF(F151&lt;0,"Negative resolution; ",""),"Missing/non-numeric resolution; ")&amp;IF(ISNUMBER(G151),IF(G151&lt;=0,"Invalid SLA target; ",""),"Missing/non-numeric SLA target; "))</x:f>
      </x:c>
      <x:c r="J151" s="2" t="str">
        <x:f>IF(A151="","",IF(I151="","Included","Review"))</x:f>
      </x:c>
      <x:c r="K151" s="2" t="str">
        <x:f>IF(J151="Included",IF(F151&lt;=G151,1,0),"")</x:f>
      </x:c>
      <x:c r="L151" s="13" t="str">
        <x:f>IF(J151="Included",C151-WEEKDAY(C151,2)+1,"")</x:f>
      </x:c>
      <x:c r="M151" s="15" t="n">
        <x:f>IF(J151="Included",E151,0)</x:f>
        <x:v>0</x:v>
      </x:c>
      <x:c r="N151" s="15" t="n">
        <x:f>IF(J151="Included",F151,0)</x:f>
        <x:v>0</x:v>
      </x:c>
    </x:row>
    <x:row r="152" ht="32" customHeight="1">
      <x:c r="A152" s="2" t="str">
        <x:f>IF(COUNTA('Source'!A146:F146)=0,"",146)</x:f>
      </x:c>
      <x:c r="B152" s="2" t="str">
        <x:f>IF(A152="","",UPPER(TRIM('Source'!A146&amp;"")))</x:f>
      </x:c>
      <x:c r="C152" s="13" t="str">
        <x:f>IF(OR(A152="",ISBLANK('Source'!B146)),"",'Source'!B146)</x:f>
      </x:c>
      <x:c r="D152" s="2" t="str">
        <x:f>IF(A152="","",UPPER(TRIM('Source'!C146&amp;"")))</x:f>
      </x:c>
      <x:c r="E152" s="15" t="str">
        <x:f>IF(OR(A152="",ISBLANK('Source'!D146)),"",'Source'!D146)</x:f>
      </x:c>
      <x:c r="F152" s="15" t="str">
        <x:f>IF(OR(A152="",ISBLANK('Source'!E146)),"",'Source'!E146)</x:f>
      </x:c>
      <x:c r="G152" s="15" t="str">
        <x:f>IF(OR(A152="",ISBLANK('Source'!F146)),"",'Source'!F146)</x:f>
      </x:c>
      <x:c r="H152" s="2" t="str">
        <x:f>IF(A152="","",COUNTIFS($B$8:$B$213,B152))</x:f>
      </x:c>
      <x:c r="I152" s="11" t="str">
        <x:f>IF(A152="","",IF(B152="","Missing ID; ","")&amp;IF(AND(B152&lt;&gt;"",H152&gt;1),"Duplicate ID; ","")&amp;IF(ISNUMBER(C152),IF(OR(C152&lt;'Report'!$C$5,C152&gt;'Report'!$F$5),"Outside reporting period; ",""),"Invalid date; ")&amp;IF(COUNTIFS('Guide'!$B$24:$B$26,D152)=0,"Unknown team; ","")&amp;IF(ISNUMBER(E152),IF(E152&lt;0,"Negative effort; ",""),"Missing/non-numeric effort; ")&amp;IF(ISNUMBER(F152),IF(F152&lt;0,"Negative resolution; ",""),"Missing/non-numeric resolution; ")&amp;IF(ISNUMBER(G152),IF(G152&lt;=0,"Invalid SLA target; ",""),"Missing/non-numeric SLA target; "))</x:f>
      </x:c>
      <x:c r="J152" s="2" t="str">
        <x:f>IF(A152="","",IF(I152="","Included","Review"))</x:f>
      </x:c>
      <x:c r="K152" s="2" t="str">
        <x:f>IF(J152="Included",IF(F152&lt;=G152,1,0),"")</x:f>
      </x:c>
      <x:c r="L152" s="13" t="str">
        <x:f>IF(J152="Included",C152-WEEKDAY(C152,2)+1,"")</x:f>
      </x:c>
      <x:c r="M152" s="15" t="n">
        <x:f>IF(J152="Included",E152,0)</x:f>
        <x:v>0</x:v>
      </x:c>
      <x:c r="N152" s="15" t="n">
        <x:f>IF(J152="Included",F152,0)</x:f>
        <x:v>0</x:v>
      </x:c>
    </x:row>
    <x:row r="153" ht="32" customHeight="1">
      <x:c r="A153" s="2" t="str">
        <x:f>IF(COUNTA('Source'!A147:F147)=0,"",147)</x:f>
      </x:c>
      <x:c r="B153" s="2" t="str">
        <x:f>IF(A153="","",UPPER(TRIM('Source'!A147&amp;"")))</x:f>
      </x:c>
      <x:c r="C153" s="13" t="str">
        <x:f>IF(OR(A153="",ISBLANK('Source'!B147)),"",'Source'!B147)</x:f>
      </x:c>
      <x:c r="D153" s="2" t="str">
        <x:f>IF(A153="","",UPPER(TRIM('Source'!C147&amp;"")))</x:f>
      </x:c>
      <x:c r="E153" s="15" t="str">
        <x:f>IF(OR(A153="",ISBLANK('Source'!D147)),"",'Source'!D147)</x:f>
      </x:c>
      <x:c r="F153" s="15" t="str">
        <x:f>IF(OR(A153="",ISBLANK('Source'!E147)),"",'Source'!E147)</x:f>
      </x:c>
      <x:c r="G153" s="15" t="str">
        <x:f>IF(OR(A153="",ISBLANK('Source'!F147)),"",'Source'!F147)</x:f>
      </x:c>
      <x:c r="H153" s="2" t="str">
        <x:f>IF(A153="","",COUNTIFS($B$8:$B$213,B153))</x:f>
      </x:c>
      <x:c r="I153" s="11" t="str">
        <x:f>IF(A153="","",IF(B153="","Missing ID; ","")&amp;IF(AND(B153&lt;&gt;"",H153&gt;1),"Duplicate ID; ","")&amp;IF(ISNUMBER(C153),IF(OR(C153&lt;'Report'!$C$5,C153&gt;'Report'!$F$5),"Outside reporting period; ",""),"Invalid date; ")&amp;IF(COUNTIFS('Guide'!$B$24:$B$26,D153)=0,"Unknown team; ","")&amp;IF(ISNUMBER(E153),IF(E153&lt;0,"Negative effort; ",""),"Missing/non-numeric effort; ")&amp;IF(ISNUMBER(F153),IF(F153&lt;0,"Negative resolution; ",""),"Missing/non-numeric resolution; ")&amp;IF(ISNUMBER(G153),IF(G153&lt;=0,"Invalid SLA target; ",""),"Missing/non-numeric SLA target; "))</x:f>
      </x:c>
      <x:c r="J153" s="2" t="str">
        <x:f>IF(A153="","",IF(I153="","Included","Review"))</x:f>
      </x:c>
      <x:c r="K153" s="2" t="str">
        <x:f>IF(J153="Included",IF(F153&lt;=G153,1,0),"")</x:f>
      </x:c>
      <x:c r="L153" s="13" t="str">
        <x:f>IF(J153="Included",C153-WEEKDAY(C153,2)+1,"")</x:f>
      </x:c>
      <x:c r="M153" s="15" t="n">
        <x:f>IF(J153="Included",E153,0)</x:f>
        <x:v>0</x:v>
      </x:c>
      <x:c r="N153" s="15" t="n">
        <x:f>IF(J153="Included",F153,0)</x:f>
        <x:v>0</x:v>
      </x:c>
    </x:row>
    <x:row r="154" ht="32" customHeight="1">
      <x:c r="A154" s="2" t="str">
        <x:f>IF(COUNTA('Source'!A148:F148)=0,"",148)</x:f>
      </x:c>
      <x:c r="B154" s="2" t="str">
        <x:f>IF(A154="","",UPPER(TRIM('Source'!A148&amp;"")))</x:f>
      </x:c>
      <x:c r="C154" s="13" t="str">
        <x:f>IF(OR(A154="",ISBLANK('Source'!B148)),"",'Source'!B148)</x:f>
      </x:c>
      <x:c r="D154" s="2" t="str">
        <x:f>IF(A154="","",UPPER(TRIM('Source'!C148&amp;"")))</x:f>
      </x:c>
      <x:c r="E154" s="15" t="str">
        <x:f>IF(OR(A154="",ISBLANK('Source'!D148)),"",'Source'!D148)</x:f>
      </x:c>
      <x:c r="F154" s="15" t="str">
        <x:f>IF(OR(A154="",ISBLANK('Source'!E148)),"",'Source'!E148)</x:f>
      </x:c>
      <x:c r="G154" s="15" t="str">
        <x:f>IF(OR(A154="",ISBLANK('Source'!F148)),"",'Source'!F148)</x:f>
      </x:c>
      <x:c r="H154" s="2" t="str">
        <x:f>IF(A154="","",COUNTIFS($B$8:$B$213,B154))</x:f>
      </x:c>
      <x:c r="I154" s="11" t="str">
        <x:f>IF(A154="","",IF(B154="","Missing ID; ","")&amp;IF(AND(B154&lt;&gt;"",H154&gt;1),"Duplicate ID; ","")&amp;IF(ISNUMBER(C154),IF(OR(C154&lt;'Report'!$C$5,C154&gt;'Report'!$F$5),"Outside reporting period; ",""),"Invalid date; ")&amp;IF(COUNTIFS('Guide'!$B$24:$B$26,D154)=0,"Unknown team; ","")&amp;IF(ISNUMBER(E154),IF(E154&lt;0,"Negative effort; ",""),"Missing/non-numeric effort; ")&amp;IF(ISNUMBER(F154),IF(F154&lt;0,"Negative resolution; ",""),"Missing/non-numeric resolution; ")&amp;IF(ISNUMBER(G154),IF(G154&lt;=0,"Invalid SLA target; ",""),"Missing/non-numeric SLA target; "))</x:f>
      </x:c>
      <x:c r="J154" s="2" t="str">
        <x:f>IF(A154="","",IF(I154="","Included","Review"))</x:f>
      </x:c>
      <x:c r="K154" s="2" t="str">
        <x:f>IF(J154="Included",IF(F154&lt;=G154,1,0),"")</x:f>
      </x:c>
      <x:c r="L154" s="13" t="str">
        <x:f>IF(J154="Included",C154-WEEKDAY(C154,2)+1,"")</x:f>
      </x:c>
      <x:c r="M154" s="15" t="n">
        <x:f>IF(J154="Included",E154,0)</x:f>
        <x:v>0</x:v>
      </x:c>
      <x:c r="N154" s="15" t="n">
        <x:f>IF(J154="Included",F154,0)</x:f>
        <x:v>0</x:v>
      </x:c>
    </x:row>
    <x:row r="155" ht="32" customHeight="1">
      <x:c r="A155" s="2" t="str">
        <x:f>IF(COUNTA('Source'!A149:F149)=0,"",149)</x:f>
      </x:c>
      <x:c r="B155" s="2" t="str">
        <x:f>IF(A155="","",UPPER(TRIM('Source'!A149&amp;"")))</x:f>
      </x:c>
      <x:c r="C155" s="13" t="str">
        <x:f>IF(OR(A155="",ISBLANK('Source'!B149)),"",'Source'!B149)</x:f>
      </x:c>
      <x:c r="D155" s="2" t="str">
        <x:f>IF(A155="","",UPPER(TRIM('Source'!C149&amp;"")))</x:f>
      </x:c>
      <x:c r="E155" s="15" t="str">
        <x:f>IF(OR(A155="",ISBLANK('Source'!D149)),"",'Source'!D149)</x:f>
      </x:c>
      <x:c r="F155" s="15" t="str">
        <x:f>IF(OR(A155="",ISBLANK('Source'!E149)),"",'Source'!E149)</x:f>
      </x:c>
      <x:c r="G155" s="15" t="str">
        <x:f>IF(OR(A155="",ISBLANK('Source'!F149)),"",'Source'!F149)</x:f>
      </x:c>
      <x:c r="H155" s="2" t="str">
        <x:f>IF(A155="","",COUNTIFS($B$8:$B$213,B155))</x:f>
      </x:c>
      <x:c r="I155" s="11" t="str">
        <x:f>IF(A155="","",IF(B155="","Missing ID; ","")&amp;IF(AND(B155&lt;&gt;"",H155&gt;1),"Duplicate ID; ","")&amp;IF(ISNUMBER(C155),IF(OR(C155&lt;'Report'!$C$5,C155&gt;'Report'!$F$5),"Outside reporting period; ",""),"Invalid date; ")&amp;IF(COUNTIFS('Guide'!$B$24:$B$26,D155)=0,"Unknown team; ","")&amp;IF(ISNUMBER(E155),IF(E155&lt;0,"Negative effort; ",""),"Missing/non-numeric effort; ")&amp;IF(ISNUMBER(F155),IF(F155&lt;0,"Negative resolution; ",""),"Missing/non-numeric resolution; ")&amp;IF(ISNUMBER(G155),IF(G155&lt;=0,"Invalid SLA target; ",""),"Missing/non-numeric SLA target; "))</x:f>
      </x:c>
      <x:c r="J155" s="2" t="str">
        <x:f>IF(A155="","",IF(I155="","Included","Review"))</x:f>
      </x:c>
      <x:c r="K155" s="2" t="str">
        <x:f>IF(J155="Included",IF(F155&lt;=G155,1,0),"")</x:f>
      </x:c>
      <x:c r="L155" s="13" t="str">
        <x:f>IF(J155="Included",C155-WEEKDAY(C155,2)+1,"")</x:f>
      </x:c>
      <x:c r="M155" s="15" t="n">
        <x:f>IF(J155="Included",E155,0)</x:f>
        <x:v>0</x:v>
      </x:c>
      <x:c r="N155" s="15" t="n">
        <x:f>IF(J155="Included",F155,0)</x:f>
        <x:v>0</x:v>
      </x:c>
    </x:row>
    <x:row r="156" ht="32" customHeight="1">
      <x:c r="A156" s="2" t="str">
        <x:f>IF(COUNTA('Source'!A150:F150)=0,"",150)</x:f>
      </x:c>
      <x:c r="B156" s="2" t="str">
        <x:f>IF(A156="","",UPPER(TRIM('Source'!A150&amp;"")))</x:f>
      </x:c>
      <x:c r="C156" s="13" t="str">
        <x:f>IF(OR(A156="",ISBLANK('Source'!B150)),"",'Source'!B150)</x:f>
      </x:c>
      <x:c r="D156" s="2" t="str">
        <x:f>IF(A156="","",UPPER(TRIM('Source'!C150&amp;"")))</x:f>
      </x:c>
      <x:c r="E156" s="15" t="str">
        <x:f>IF(OR(A156="",ISBLANK('Source'!D150)),"",'Source'!D150)</x:f>
      </x:c>
      <x:c r="F156" s="15" t="str">
        <x:f>IF(OR(A156="",ISBLANK('Source'!E150)),"",'Source'!E150)</x:f>
      </x:c>
      <x:c r="G156" s="15" t="str">
        <x:f>IF(OR(A156="",ISBLANK('Source'!F150)),"",'Source'!F150)</x:f>
      </x:c>
      <x:c r="H156" s="2" t="str">
        <x:f>IF(A156="","",COUNTIFS($B$8:$B$213,B156))</x:f>
      </x:c>
      <x:c r="I156" s="11" t="str">
        <x:f>IF(A156="","",IF(B156="","Missing ID; ","")&amp;IF(AND(B156&lt;&gt;"",H156&gt;1),"Duplicate ID; ","")&amp;IF(ISNUMBER(C156),IF(OR(C156&lt;'Report'!$C$5,C156&gt;'Report'!$F$5),"Outside reporting period; ",""),"Invalid date; ")&amp;IF(COUNTIFS('Guide'!$B$24:$B$26,D156)=0,"Unknown team; ","")&amp;IF(ISNUMBER(E156),IF(E156&lt;0,"Negative effort; ",""),"Missing/non-numeric effort; ")&amp;IF(ISNUMBER(F156),IF(F156&lt;0,"Negative resolution; ",""),"Missing/non-numeric resolution; ")&amp;IF(ISNUMBER(G156),IF(G156&lt;=0,"Invalid SLA target; ",""),"Missing/non-numeric SLA target; "))</x:f>
      </x:c>
      <x:c r="J156" s="2" t="str">
        <x:f>IF(A156="","",IF(I156="","Included","Review"))</x:f>
      </x:c>
      <x:c r="K156" s="2" t="str">
        <x:f>IF(J156="Included",IF(F156&lt;=G156,1,0),"")</x:f>
      </x:c>
      <x:c r="L156" s="13" t="str">
        <x:f>IF(J156="Included",C156-WEEKDAY(C156,2)+1,"")</x:f>
      </x:c>
      <x:c r="M156" s="15" t="n">
        <x:f>IF(J156="Included",E156,0)</x:f>
        <x:v>0</x:v>
      </x:c>
      <x:c r="N156" s="15" t="n">
        <x:f>IF(J156="Included",F156,0)</x:f>
        <x:v>0</x:v>
      </x:c>
    </x:row>
    <x:row r="157" ht="32" customHeight="1">
      <x:c r="A157" s="2" t="str">
        <x:f>IF(COUNTA('Source'!A151:F151)=0,"",151)</x:f>
      </x:c>
      <x:c r="B157" s="2" t="str">
        <x:f>IF(A157="","",UPPER(TRIM('Source'!A151&amp;"")))</x:f>
      </x:c>
      <x:c r="C157" s="13" t="str">
        <x:f>IF(OR(A157="",ISBLANK('Source'!B151)),"",'Source'!B151)</x:f>
      </x:c>
      <x:c r="D157" s="2" t="str">
        <x:f>IF(A157="","",UPPER(TRIM('Source'!C151&amp;"")))</x:f>
      </x:c>
      <x:c r="E157" s="15" t="str">
        <x:f>IF(OR(A157="",ISBLANK('Source'!D151)),"",'Source'!D151)</x:f>
      </x:c>
      <x:c r="F157" s="15" t="str">
        <x:f>IF(OR(A157="",ISBLANK('Source'!E151)),"",'Source'!E151)</x:f>
      </x:c>
      <x:c r="G157" s="15" t="str">
        <x:f>IF(OR(A157="",ISBLANK('Source'!F151)),"",'Source'!F151)</x:f>
      </x:c>
      <x:c r="H157" s="2" t="str">
        <x:f>IF(A157="","",COUNTIFS($B$8:$B$213,B157))</x:f>
      </x:c>
      <x:c r="I157" s="11" t="str">
        <x:f>IF(A157="","",IF(B157="","Missing ID; ","")&amp;IF(AND(B157&lt;&gt;"",H157&gt;1),"Duplicate ID; ","")&amp;IF(ISNUMBER(C157),IF(OR(C157&lt;'Report'!$C$5,C157&gt;'Report'!$F$5),"Outside reporting period; ",""),"Invalid date; ")&amp;IF(COUNTIFS('Guide'!$B$24:$B$26,D157)=0,"Unknown team; ","")&amp;IF(ISNUMBER(E157),IF(E157&lt;0,"Negative effort; ",""),"Missing/non-numeric effort; ")&amp;IF(ISNUMBER(F157),IF(F157&lt;0,"Negative resolution; ",""),"Missing/non-numeric resolution; ")&amp;IF(ISNUMBER(G157),IF(G157&lt;=0,"Invalid SLA target; ",""),"Missing/non-numeric SLA target; "))</x:f>
      </x:c>
      <x:c r="J157" s="2" t="str">
        <x:f>IF(A157="","",IF(I157="","Included","Review"))</x:f>
      </x:c>
      <x:c r="K157" s="2" t="str">
        <x:f>IF(J157="Included",IF(F157&lt;=G157,1,0),"")</x:f>
      </x:c>
      <x:c r="L157" s="13" t="str">
        <x:f>IF(J157="Included",C157-WEEKDAY(C157,2)+1,"")</x:f>
      </x:c>
      <x:c r="M157" s="15" t="n">
        <x:f>IF(J157="Included",E157,0)</x:f>
        <x:v>0</x:v>
      </x:c>
      <x:c r="N157" s="15" t="n">
        <x:f>IF(J157="Included",F157,0)</x:f>
        <x:v>0</x:v>
      </x:c>
    </x:row>
    <x:row r="158" ht="32" customHeight="1">
      <x:c r="A158" s="2" t="str">
        <x:f>IF(COUNTA('Source'!A152:F152)=0,"",152)</x:f>
      </x:c>
      <x:c r="B158" s="2" t="str">
        <x:f>IF(A158="","",UPPER(TRIM('Source'!A152&amp;"")))</x:f>
      </x:c>
      <x:c r="C158" s="13" t="str">
        <x:f>IF(OR(A158="",ISBLANK('Source'!B152)),"",'Source'!B152)</x:f>
      </x:c>
      <x:c r="D158" s="2" t="str">
        <x:f>IF(A158="","",UPPER(TRIM('Source'!C152&amp;"")))</x:f>
      </x:c>
      <x:c r="E158" s="15" t="str">
        <x:f>IF(OR(A158="",ISBLANK('Source'!D152)),"",'Source'!D152)</x:f>
      </x:c>
      <x:c r="F158" s="15" t="str">
        <x:f>IF(OR(A158="",ISBLANK('Source'!E152)),"",'Source'!E152)</x:f>
      </x:c>
      <x:c r="G158" s="15" t="str">
        <x:f>IF(OR(A158="",ISBLANK('Source'!F152)),"",'Source'!F152)</x:f>
      </x:c>
      <x:c r="H158" s="2" t="str">
        <x:f>IF(A158="","",COUNTIFS($B$8:$B$213,B158))</x:f>
      </x:c>
      <x:c r="I158" s="11" t="str">
        <x:f>IF(A158="","",IF(B158="","Missing ID; ","")&amp;IF(AND(B158&lt;&gt;"",H158&gt;1),"Duplicate ID; ","")&amp;IF(ISNUMBER(C158),IF(OR(C158&lt;'Report'!$C$5,C158&gt;'Report'!$F$5),"Outside reporting period; ",""),"Invalid date; ")&amp;IF(COUNTIFS('Guide'!$B$24:$B$26,D158)=0,"Unknown team; ","")&amp;IF(ISNUMBER(E158),IF(E158&lt;0,"Negative effort; ",""),"Missing/non-numeric effort; ")&amp;IF(ISNUMBER(F158),IF(F158&lt;0,"Negative resolution; ",""),"Missing/non-numeric resolution; ")&amp;IF(ISNUMBER(G158),IF(G158&lt;=0,"Invalid SLA target; ",""),"Missing/non-numeric SLA target; "))</x:f>
      </x:c>
      <x:c r="J158" s="2" t="str">
        <x:f>IF(A158="","",IF(I158="","Included","Review"))</x:f>
      </x:c>
      <x:c r="K158" s="2" t="str">
        <x:f>IF(J158="Included",IF(F158&lt;=G158,1,0),"")</x:f>
      </x:c>
      <x:c r="L158" s="13" t="str">
        <x:f>IF(J158="Included",C158-WEEKDAY(C158,2)+1,"")</x:f>
      </x:c>
      <x:c r="M158" s="15" t="n">
        <x:f>IF(J158="Included",E158,0)</x:f>
        <x:v>0</x:v>
      </x:c>
      <x:c r="N158" s="15" t="n">
        <x:f>IF(J158="Included",F158,0)</x:f>
        <x:v>0</x:v>
      </x:c>
    </x:row>
    <x:row r="159" ht="32" customHeight="1">
      <x:c r="A159" s="2" t="str">
        <x:f>IF(COUNTA('Source'!A153:F153)=0,"",153)</x:f>
      </x:c>
      <x:c r="B159" s="2" t="str">
        <x:f>IF(A159="","",UPPER(TRIM('Source'!A153&amp;"")))</x:f>
      </x:c>
      <x:c r="C159" s="13" t="str">
        <x:f>IF(OR(A159="",ISBLANK('Source'!B153)),"",'Source'!B153)</x:f>
      </x:c>
      <x:c r="D159" s="2" t="str">
        <x:f>IF(A159="","",UPPER(TRIM('Source'!C153&amp;"")))</x:f>
      </x:c>
      <x:c r="E159" s="15" t="str">
        <x:f>IF(OR(A159="",ISBLANK('Source'!D153)),"",'Source'!D153)</x:f>
      </x:c>
      <x:c r="F159" s="15" t="str">
        <x:f>IF(OR(A159="",ISBLANK('Source'!E153)),"",'Source'!E153)</x:f>
      </x:c>
      <x:c r="G159" s="15" t="str">
        <x:f>IF(OR(A159="",ISBLANK('Source'!F153)),"",'Source'!F153)</x:f>
      </x:c>
      <x:c r="H159" s="2" t="str">
        <x:f>IF(A159="","",COUNTIFS($B$8:$B$213,B159))</x:f>
      </x:c>
      <x:c r="I159" s="11" t="str">
        <x:f>IF(A159="","",IF(B159="","Missing ID; ","")&amp;IF(AND(B159&lt;&gt;"",H159&gt;1),"Duplicate ID; ","")&amp;IF(ISNUMBER(C159),IF(OR(C159&lt;'Report'!$C$5,C159&gt;'Report'!$F$5),"Outside reporting period; ",""),"Invalid date; ")&amp;IF(COUNTIFS('Guide'!$B$24:$B$26,D159)=0,"Unknown team; ","")&amp;IF(ISNUMBER(E159),IF(E159&lt;0,"Negative effort; ",""),"Missing/non-numeric effort; ")&amp;IF(ISNUMBER(F159),IF(F159&lt;0,"Negative resolution; ",""),"Missing/non-numeric resolution; ")&amp;IF(ISNUMBER(G159),IF(G159&lt;=0,"Invalid SLA target; ",""),"Missing/non-numeric SLA target; "))</x:f>
      </x:c>
      <x:c r="J159" s="2" t="str">
        <x:f>IF(A159="","",IF(I159="","Included","Review"))</x:f>
      </x:c>
      <x:c r="K159" s="2" t="str">
        <x:f>IF(J159="Included",IF(F159&lt;=G159,1,0),"")</x:f>
      </x:c>
      <x:c r="L159" s="13" t="str">
        <x:f>IF(J159="Included",C159-WEEKDAY(C159,2)+1,"")</x:f>
      </x:c>
      <x:c r="M159" s="15" t="n">
        <x:f>IF(J159="Included",E159,0)</x:f>
        <x:v>0</x:v>
      </x:c>
      <x:c r="N159" s="15" t="n">
        <x:f>IF(J159="Included",F159,0)</x:f>
        <x:v>0</x:v>
      </x:c>
    </x:row>
    <x:row r="160" ht="32" customHeight="1">
      <x:c r="A160" s="2" t="str">
        <x:f>IF(COUNTA('Source'!A154:F154)=0,"",154)</x:f>
      </x:c>
      <x:c r="B160" s="2" t="str">
        <x:f>IF(A160="","",UPPER(TRIM('Source'!A154&amp;"")))</x:f>
      </x:c>
      <x:c r="C160" s="13" t="str">
        <x:f>IF(OR(A160="",ISBLANK('Source'!B154)),"",'Source'!B154)</x:f>
      </x:c>
      <x:c r="D160" s="2" t="str">
        <x:f>IF(A160="","",UPPER(TRIM('Source'!C154&amp;"")))</x:f>
      </x:c>
      <x:c r="E160" s="15" t="str">
        <x:f>IF(OR(A160="",ISBLANK('Source'!D154)),"",'Source'!D154)</x:f>
      </x:c>
      <x:c r="F160" s="15" t="str">
        <x:f>IF(OR(A160="",ISBLANK('Source'!E154)),"",'Source'!E154)</x:f>
      </x:c>
      <x:c r="G160" s="15" t="str">
        <x:f>IF(OR(A160="",ISBLANK('Source'!F154)),"",'Source'!F154)</x:f>
      </x:c>
      <x:c r="H160" s="2" t="str">
        <x:f>IF(A160="","",COUNTIFS($B$8:$B$213,B160))</x:f>
      </x:c>
      <x:c r="I160" s="11" t="str">
        <x:f>IF(A160="","",IF(B160="","Missing ID; ","")&amp;IF(AND(B160&lt;&gt;"",H160&gt;1),"Duplicate ID; ","")&amp;IF(ISNUMBER(C160),IF(OR(C160&lt;'Report'!$C$5,C160&gt;'Report'!$F$5),"Outside reporting period; ",""),"Invalid date; ")&amp;IF(COUNTIFS('Guide'!$B$24:$B$26,D160)=0,"Unknown team; ","")&amp;IF(ISNUMBER(E160),IF(E160&lt;0,"Negative effort; ",""),"Missing/non-numeric effort; ")&amp;IF(ISNUMBER(F160),IF(F160&lt;0,"Negative resolution; ",""),"Missing/non-numeric resolution; ")&amp;IF(ISNUMBER(G160),IF(G160&lt;=0,"Invalid SLA target; ",""),"Missing/non-numeric SLA target; "))</x:f>
      </x:c>
      <x:c r="J160" s="2" t="str">
        <x:f>IF(A160="","",IF(I160="","Included","Review"))</x:f>
      </x:c>
      <x:c r="K160" s="2" t="str">
        <x:f>IF(J160="Included",IF(F160&lt;=G160,1,0),"")</x:f>
      </x:c>
      <x:c r="L160" s="13" t="str">
        <x:f>IF(J160="Included",C160-WEEKDAY(C160,2)+1,"")</x:f>
      </x:c>
      <x:c r="M160" s="15" t="n">
        <x:f>IF(J160="Included",E160,0)</x:f>
        <x:v>0</x:v>
      </x:c>
      <x:c r="N160" s="15" t="n">
        <x:f>IF(J160="Included",F160,0)</x:f>
        <x:v>0</x:v>
      </x:c>
    </x:row>
    <x:row r="161" ht="32" customHeight="1">
      <x:c r="A161" s="2" t="str">
        <x:f>IF(COUNTA('Source'!A155:F155)=0,"",155)</x:f>
      </x:c>
      <x:c r="B161" s="2" t="str">
        <x:f>IF(A161="","",UPPER(TRIM('Source'!A155&amp;"")))</x:f>
      </x:c>
      <x:c r="C161" s="13" t="str">
        <x:f>IF(OR(A161="",ISBLANK('Source'!B155)),"",'Source'!B155)</x:f>
      </x:c>
      <x:c r="D161" s="2" t="str">
        <x:f>IF(A161="","",UPPER(TRIM('Source'!C155&amp;"")))</x:f>
      </x:c>
      <x:c r="E161" s="15" t="str">
        <x:f>IF(OR(A161="",ISBLANK('Source'!D155)),"",'Source'!D155)</x:f>
      </x:c>
      <x:c r="F161" s="15" t="str">
        <x:f>IF(OR(A161="",ISBLANK('Source'!E155)),"",'Source'!E155)</x:f>
      </x:c>
      <x:c r="G161" s="15" t="str">
        <x:f>IF(OR(A161="",ISBLANK('Source'!F155)),"",'Source'!F155)</x:f>
      </x:c>
      <x:c r="H161" s="2" t="str">
        <x:f>IF(A161="","",COUNTIFS($B$8:$B$213,B161))</x:f>
      </x:c>
      <x:c r="I161" s="11" t="str">
        <x:f>IF(A161="","",IF(B161="","Missing ID; ","")&amp;IF(AND(B161&lt;&gt;"",H161&gt;1),"Duplicate ID; ","")&amp;IF(ISNUMBER(C161),IF(OR(C161&lt;'Report'!$C$5,C161&gt;'Report'!$F$5),"Outside reporting period; ",""),"Invalid date; ")&amp;IF(COUNTIFS('Guide'!$B$24:$B$26,D161)=0,"Unknown team; ","")&amp;IF(ISNUMBER(E161),IF(E161&lt;0,"Negative effort; ",""),"Missing/non-numeric effort; ")&amp;IF(ISNUMBER(F161),IF(F161&lt;0,"Negative resolution; ",""),"Missing/non-numeric resolution; ")&amp;IF(ISNUMBER(G161),IF(G161&lt;=0,"Invalid SLA target; ",""),"Missing/non-numeric SLA target; "))</x:f>
      </x:c>
      <x:c r="J161" s="2" t="str">
        <x:f>IF(A161="","",IF(I161="","Included","Review"))</x:f>
      </x:c>
      <x:c r="K161" s="2" t="str">
        <x:f>IF(J161="Included",IF(F161&lt;=G161,1,0),"")</x:f>
      </x:c>
      <x:c r="L161" s="13" t="str">
        <x:f>IF(J161="Included",C161-WEEKDAY(C161,2)+1,"")</x:f>
      </x:c>
      <x:c r="M161" s="15" t="n">
        <x:f>IF(J161="Included",E161,0)</x:f>
        <x:v>0</x:v>
      </x:c>
      <x:c r="N161" s="15" t="n">
        <x:f>IF(J161="Included",F161,0)</x:f>
        <x:v>0</x:v>
      </x:c>
    </x:row>
    <x:row r="162" ht="32" customHeight="1">
      <x:c r="A162" s="2" t="str">
        <x:f>IF(COUNTA('Source'!A156:F156)=0,"",156)</x:f>
      </x:c>
      <x:c r="B162" s="2" t="str">
        <x:f>IF(A162="","",UPPER(TRIM('Source'!A156&amp;"")))</x:f>
      </x:c>
      <x:c r="C162" s="13" t="str">
        <x:f>IF(OR(A162="",ISBLANK('Source'!B156)),"",'Source'!B156)</x:f>
      </x:c>
      <x:c r="D162" s="2" t="str">
        <x:f>IF(A162="","",UPPER(TRIM('Source'!C156&amp;"")))</x:f>
      </x:c>
      <x:c r="E162" s="15" t="str">
        <x:f>IF(OR(A162="",ISBLANK('Source'!D156)),"",'Source'!D156)</x:f>
      </x:c>
      <x:c r="F162" s="15" t="str">
        <x:f>IF(OR(A162="",ISBLANK('Source'!E156)),"",'Source'!E156)</x:f>
      </x:c>
      <x:c r="G162" s="15" t="str">
        <x:f>IF(OR(A162="",ISBLANK('Source'!F156)),"",'Source'!F156)</x:f>
      </x:c>
      <x:c r="H162" s="2" t="str">
        <x:f>IF(A162="","",COUNTIFS($B$8:$B$213,B162))</x:f>
      </x:c>
      <x:c r="I162" s="11" t="str">
        <x:f>IF(A162="","",IF(B162="","Missing ID; ","")&amp;IF(AND(B162&lt;&gt;"",H162&gt;1),"Duplicate ID; ","")&amp;IF(ISNUMBER(C162),IF(OR(C162&lt;'Report'!$C$5,C162&gt;'Report'!$F$5),"Outside reporting period; ",""),"Invalid date; ")&amp;IF(COUNTIFS('Guide'!$B$24:$B$26,D162)=0,"Unknown team; ","")&amp;IF(ISNUMBER(E162),IF(E162&lt;0,"Negative effort; ",""),"Missing/non-numeric effort; ")&amp;IF(ISNUMBER(F162),IF(F162&lt;0,"Negative resolution; ",""),"Missing/non-numeric resolution; ")&amp;IF(ISNUMBER(G162),IF(G162&lt;=0,"Invalid SLA target; ",""),"Missing/non-numeric SLA target; "))</x:f>
      </x:c>
      <x:c r="J162" s="2" t="str">
        <x:f>IF(A162="","",IF(I162="","Included","Review"))</x:f>
      </x:c>
      <x:c r="K162" s="2" t="str">
        <x:f>IF(J162="Included",IF(F162&lt;=G162,1,0),"")</x:f>
      </x:c>
      <x:c r="L162" s="13" t="str">
        <x:f>IF(J162="Included",C162-WEEKDAY(C162,2)+1,"")</x:f>
      </x:c>
      <x:c r="M162" s="15" t="n">
        <x:f>IF(J162="Included",E162,0)</x:f>
        <x:v>0</x:v>
      </x:c>
      <x:c r="N162" s="15" t="n">
        <x:f>IF(J162="Included",F162,0)</x:f>
        <x:v>0</x:v>
      </x:c>
    </x:row>
    <x:row r="163" ht="32" customHeight="1">
      <x:c r="A163" s="2" t="str">
        <x:f>IF(COUNTA('Source'!A157:F157)=0,"",157)</x:f>
      </x:c>
      <x:c r="B163" s="2" t="str">
        <x:f>IF(A163="","",UPPER(TRIM('Source'!A157&amp;"")))</x:f>
      </x:c>
      <x:c r="C163" s="13" t="str">
        <x:f>IF(OR(A163="",ISBLANK('Source'!B157)),"",'Source'!B157)</x:f>
      </x:c>
      <x:c r="D163" s="2" t="str">
        <x:f>IF(A163="","",UPPER(TRIM('Source'!C157&amp;"")))</x:f>
      </x:c>
      <x:c r="E163" s="15" t="str">
        <x:f>IF(OR(A163="",ISBLANK('Source'!D157)),"",'Source'!D157)</x:f>
      </x:c>
      <x:c r="F163" s="15" t="str">
        <x:f>IF(OR(A163="",ISBLANK('Source'!E157)),"",'Source'!E157)</x:f>
      </x:c>
      <x:c r="G163" s="15" t="str">
        <x:f>IF(OR(A163="",ISBLANK('Source'!F157)),"",'Source'!F157)</x:f>
      </x:c>
      <x:c r="H163" s="2" t="str">
        <x:f>IF(A163="","",COUNTIFS($B$8:$B$213,B163))</x:f>
      </x:c>
      <x:c r="I163" s="11" t="str">
        <x:f>IF(A163="","",IF(B163="","Missing ID; ","")&amp;IF(AND(B163&lt;&gt;"",H163&gt;1),"Duplicate ID; ","")&amp;IF(ISNUMBER(C163),IF(OR(C163&lt;'Report'!$C$5,C163&gt;'Report'!$F$5),"Outside reporting period; ",""),"Invalid date; ")&amp;IF(COUNTIFS('Guide'!$B$24:$B$26,D163)=0,"Unknown team; ","")&amp;IF(ISNUMBER(E163),IF(E163&lt;0,"Negative effort; ",""),"Missing/non-numeric effort; ")&amp;IF(ISNUMBER(F163),IF(F163&lt;0,"Negative resolution; ",""),"Missing/non-numeric resolution; ")&amp;IF(ISNUMBER(G163),IF(G163&lt;=0,"Invalid SLA target; ",""),"Missing/non-numeric SLA target; "))</x:f>
      </x:c>
      <x:c r="J163" s="2" t="str">
        <x:f>IF(A163="","",IF(I163="","Included","Review"))</x:f>
      </x:c>
      <x:c r="K163" s="2" t="str">
        <x:f>IF(J163="Included",IF(F163&lt;=G163,1,0),"")</x:f>
      </x:c>
      <x:c r="L163" s="13" t="str">
        <x:f>IF(J163="Included",C163-WEEKDAY(C163,2)+1,"")</x:f>
      </x:c>
      <x:c r="M163" s="15" t="n">
        <x:f>IF(J163="Included",E163,0)</x:f>
        <x:v>0</x:v>
      </x:c>
      <x:c r="N163" s="15" t="n">
        <x:f>IF(J163="Included",F163,0)</x:f>
        <x:v>0</x:v>
      </x:c>
    </x:row>
    <x:row r="164" ht="32" customHeight="1">
      <x:c r="A164" s="2" t="str">
        <x:f>IF(COUNTA('Source'!A158:F158)=0,"",158)</x:f>
      </x:c>
      <x:c r="B164" s="2" t="str">
        <x:f>IF(A164="","",UPPER(TRIM('Source'!A158&amp;"")))</x:f>
      </x:c>
      <x:c r="C164" s="13" t="str">
        <x:f>IF(OR(A164="",ISBLANK('Source'!B158)),"",'Source'!B158)</x:f>
      </x:c>
      <x:c r="D164" s="2" t="str">
        <x:f>IF(A164="","",UPPER(TRIM('Source'!C158&amp;"")))</x:f>
      </x:c>
      <x:c r="E164" s="15" t="str">
        <x:f>IF(OR(A164="",ISBLANK('Source'!D158)),"",'Source'!D158)</x:f>
      </x:c>
      <x:c r="F164" s="15" t="str">
        <x:f>IF(OR(A164="",ISBLANK('Source'!E158)),"",'Source'!E158)</x:f>
      </x:c>
      <x:c r="G164" s="15" t="str">
        <x:f>IF(OR(A164="",ISBLANK('Source'!F158)),"",'Source'!F158)</x:f>
      </x:c>
      <x:c r="H164" s="2" t="str">
        <x:f>IF(A164="","",COUNTIFS($B$8:$B$213,B164))</x:f>
      </x:c>
      <x:c r="I164" s="11" t="str">
        <x:f>IF(A164="","",IF(B164="","Missing ID; ","")&amp;IF(AND(B164&lt;&gt;"",H164&gt;1),"Duplicate ID; ","")&amp;IF(ISNUMBER(C164),IF(OR(C164&lt;'Report'!$C$5,C164&gt;'Report'!$F$5),"Outside reporting period; ",""),"Invalid date; ")&amp;IF(COUNTIFS('Guide'!$B$24:$B$26,D164)=0,"Unknown team; ","")&amp;IF(ISNUMBER(E164),IF(E164&lt;0,"Negative effort; ",""),"Missing/non-numeric effort; ")&amp;IF(ISNUMBER(F164),IF(F164&lt;0,"Negative resolution; ",""),"Missing/non-numeric resolution; ")&amp;IF(ISNUMBER(G164),IF(G164&lt;=0,"Invalid SLA target; ",""),"Missing/non-numeric SLA target; "))</x:f>
      </x:c>
      <x:c r="J164" s="2" t="str">
        <x:f>IF(A164="","",IF(I164="","Included","Review"))</x:f>
      </x:c>
      <x:c r="K164" s="2" t="str">
        <x:f>IF(J164="Included",IF(F164&lt;=G164,1,0),"")</x:f>
      </x:c>
      <x:c r="L164" s="13" t="str">
        <x:f>IF(J164="Included",C164-WEEKDAY(C164,2)+1,"")</x:f>
      </x:c>
      <x:c r="M164" s="15" t="n">
        <x:f>IF(J164="Included",E164,0)</x:f>
        <x:v>0</x:v>
      </x:c>
      <x:c r="N164" s="15" t="n">
        <x:f>IF(J164="Included",F164,0)</x:f>
        <x:v>0</x:v>
      </x:c>
    </x:row>
    <x:row r="165" ht="32" customHeight="1">
      <x:c r="A165" s="2" t="str">
        <x:f>IF(COUNTA('Source'!A159:F159)=0,"",159)</x:f>
      </x:c>
      <x:c r="B165" s="2" t="str">
        <x:f>IF(A165="","",UPPER(TRIM('Source'!A159&amp;"")))</x:f>
      </x:c>
      <x:c r="C165" s="13" t="str">
        <x:f>IF(OR(A165="",ISBLANK('Source'!B159)),"",'Source'!B159)</x:f>
      </x:c>
      <x:c r="D165" s="2" t="str">
        <x:f>IF(A165="","",UPPER(TRIM('Source'!C159&amp;"")))</x:f>
      </x:c>
      <x:c r="E165" s="15" t="str">
        <x:f>IF(OR(A165="",ISBLANK('Source'!D159)),"",'Source'!D159)</x:f>
      </x:c>
      <x:c r="F165" s="15" t="str">
        <x:f>IF(OR(A165="",ISBLANK('Source'!E159)),"",'Source'!E159)</x:f>
      </x:c>
      <x:c r="G165" s="15" t="str">
        <x:f>IF(OR(A165="",ISBLANK('Source'!F159)),"",'Source'!F159)</x:f>
      </x:c>
      <x:c r="H165" s="2" t="str">
        <x:f>IF(A165="","",COUNTIFS($B$8:$B$213,B165))</x:f>
      </x:c>
      <x:c r="I165" s="11" t="str">
        <x:f>IF(A165="","",IF(B165="","Missing ID; ","")&amp;IF(AND(B165&lt;&gt;"",H165&gt;1),"Duplicate ID; ","")&amp;IF(ISNUMBER(C165),IF(OR(C165&lt;'Report'!$C$5,C165&gt;'Report'!$F$5),"Outside reporting period; ",""),"Invalid date; ")&amp;IF(COUNTIFS('Guide'!$B$24:$B$26,D165)=0,"Unknown team; ","")&amp;IF(ISNUMBER(E165),IF(E165&lt;0,"Negative effort; ",""),"Missing/non-numeric effort; ")&amp;IF(ISNUMBER(F165),IF(F165&lt;0,"Negative resolution; ",""),"Missing/non-numeric resolution; ")&amp;IF(ISNUMBER(G165),IF(G165&lt;=0,"Invalid SLA target; ",""),"Missing/non-numeric SLA target; "))</x:f>
      </x:c>
      <x:c r="J165" s="2" t="str">
        <x:f>IF(A165="","",IF(I165="","Included","Review"))</x:f>
      </x:c>
      <x:c r="K165" s="2" t="str">
        <x:f>IF(J165="Included",IF(F165&lt;=G165,1,0),"")</x:f>
      </x:c>
      <x:c r="L165" s="13" t="str">
        <x:f>IF(J165="Included",C165-WEEKDAY(C165,2)+1,"")</x:f>
      </x:c>
      <x:c r="M165" s="15" t="n">
        <x:f>IF(J165="Included",E165,0)</x:f>
        <x:v>0</x:v>
      </x:c>
      <x:c r="N165" s="15" t="n">
        <x:f>IF(J165="Included",F165,0)</x:f>
        <x:v>0</x:v>
      </x:c>
    </x:row>
    <x:row r="166" ht="32" customHeight="1">
      <x:c r="A166" s="2" t="str">
        <x:f>IF(COUNTA('Source'!A160:F160)=0,"",160)</x:f>
      </x:c>
      <x:c r="B166" s="2" t="str">
        <x:f>IF(A166="","",UPPER(TRIM('Source'!A160&amp;"")))</x:f>
      </x:c>
      <x:c r="C166" s="13" t="str">
        <x:f>IF(OR(A166="",ISBLANK('Source'!B160)),"",'Source'!B160)</x:f>
      </x:c>
      <x:c r="D166" s="2" t="str">
        <x:f>IF(A166="","",UPPER(TRIM('Source'!C160&amp;"")))</x:f>
      </x:c>
      <x:c r="E166" s="15" t="str">
        <x:f>IF(OR(A166="",ISBLANK('Source'!D160)),"",'Source'!D160)</x:f>
      </x:c>
      <x:c r="F166" s="15" t="str">
        <x:f>IF(OR(A166="",ISBLANK('Source'!E160)),"",'Source'!E160)</x:f>
      </x:c>
      <x:c r="G166" s="15" t="str">
        <x:f>IF(OR(A166="",ISBLANK('Source'!F160)),"",'Source'!F160)</x:f>
      </x:c>
      <x:c r="H166" s="2" t="str">
        <x:f>IF(A166="","",COUNTIFS($B$8:$B$213,B166))</x:f>
      </x:c>
      <x:c r="I166" s="11" t="str">
        <x:f>IF(A166="","",IF(B166="","Missing ID; ","")&amp;IF(AND(B166&lt;&gt;"",H166&gt;1),"Duplicate ID; ","")&amp;IF(ISNUMBER(C166),IF(OR(C166&lt;'Report'!$C$5,C166&gt;'Report'!$F$5),"Outside reporting period; ",""),"Invalid date; ")&amp;IF(COUNTIFS('Guide'!$B$24:$B$26,D166)=0,"Unknown team; ","")&amp;IF(ISNUMBER(E166),IF(E166&lt;0,"Negative effort; ",""),"Missing/non-numeric effort; ")&amp;IF(ISNUMBER(F166),IF(F166&lt;0,"Negative resolution; ",""),"Missing/non-numeric resolution; ")&amp;IF(ISNUMBER(G166),IF(G166&lt;=0,"Invalid SLA target; ",""),"Missing/non-numeric SLA target; "))</x:f>
      </x:c>
      <x:c r="J166" s="2" t="str">
        <x:f>IF(A166="","",IF(I166="","Included","Review"))</x:f>
      </x:c>
      <x:c r="K166" s="2" t="str">
        <x:f>IF(J166="Included",IF(F166&lt;=G166,1,0),"")</x:f>
      </x:c>
      <x:c r="L166" s="13" t="str">
        <x:f>IF(J166="Included",C166-WEEKDAY(C166,2)+1,"")</x:f>
      </x:c>
      <x:c r="M166" s="15" t="n">
        <x:f>IF(J166="Included",E166,0)</x:f>
        <x:v>0</x:v>
      </x:c>
      <x:c r="N166" s="15" t="n">
        <x:f>IF(J166="Included",F166,0)</x:f>
        <x:v>0</x:v>
      </x:c>
    </x:row>
    <x:row r="167" ht="32" customHeight="1">
      <x:c r="A167" s="2" t="str">
        <x:f>IF(COUNTA('Source'!A161:F161)=0,"",161)</x:f>
      </x:c>
      <x:c r="B167" s="2" t="str">
        <x:f>IF(A167="","",UPPER(TRIM('Source'!A161&amp;"")))</x:f>
      </x:c>
      <x:c r="C167" s="13" t="str">
        <x:f>IF(OR(A167="",ISBLANK('Source'!B161)),"",'Source'!B161)</x:f>
      </x:c>
      <x:c r="D167" s="2" t="str">
        <x:f>IF(A167="","",UPPER(TRIM('Source'!C161&amp;"")))</x:f>
      </x:c>
      <x:c r="E167" s="15" t="str">
        <x:f>IF(OR(A167="",ISBLANK('Source'!D161)),"",'Source'!D161)</x:f>
      </x:c>
      <x:c r="F167" s="15" t="str">
        <x:f>IF(OR(A167="",ISBLANK('Source'!E161)),"",'Source'!E161)</x:f>
      </x:c>
      <x:c r="G167" s="15" t="str">
        <x:f>IF(OR(A167="",ISBLANK('Source'!F161)),"",'Source'!F161)</x:f>
      </x:c>
      <x:c r="H167" s="2" t="str">
        <x:f>IF(A167="","",COUNTIFS($B$8:$B$213,B167))</x:f>
      </x:c>
      <x:c r="I167" s="11" t="str">
        <x:f>IF(A167="","",IF(B167="","Missing ID; ","")&amp;IF(AND(B167&lt;&gt;"",H167&gt;1),"Duplicate ID; ","")&amp;IF(ISNUMBER(C167),IF(OR(C167&lt;'Report'!$C$5,C167&gt;'Report'!$F$5),"Outside reporting period; ",""),"Invalid date; ")&amp;IF(COUNTIFS('Guide'!$B$24:$B$26,D167)=0,"Unknown team; ","")&amp;IF(ISNUMBER(E167),IF(E167&lt;0,"Negative effort; ",""),"Missing/non-numeric effort; ")&amp;IF(ISNUMBER(F167),IF(F167&lt;0,"Negative resolution; ",""),"Missing/non-numeric resolution; ")&amp;IF(ISNUMBER(G167),IF(G167&lt;=0,"Invalid SLA target; ",""),"Missing/non-numeric SLA target; "))</x:f>
      </x:c>
      <x:c r="J167" s="2" t="str">
        <x:f>IF(A167="","",IF(I167="","Included","Review"))</x:f>
      </x:c>
      <x:c r="K167" s="2" t="str">
        <x:f>IF(J167="Included",IF(F167&lt;=G167,1,0),"")</x:f>
      </x:c>
      <x:c r="L167" s="13" t="str">
        <x:f>IF(J167="Included",C167-WEEKDAY(C167,2)+1,"")</x:f>
      </x:c>
      <x:c r="M167" s="15" t="n">
        <x:f>IF(J167="Included",E167,0)</x:f>
        <x:v>0</x:v>
      </x:c>
      <x:c r="N167" s="15" t="n">
        <x:f>IF(J167="Included",F167,0)</x:f>
        <x:v>0</x:v>
      </x:c>
    </x:row>
    <x:row r="168" ht="32" customHeight="1">
      <x:c r="A168" s="2" t="str">
        <x:f>IF(COUNTA('Source'!A162:F162)=0,"",162)</x:f>
      </x:c>
      <x:c r="B168" s="2" t="str">
        <x:f>IF(A168="","",UPPER(TRIM('Source'!A162&amp;"")))</x:f>
      </x:c>
      <x:c r="C168" s="13" t="str">
        <x:f>IF(OR(A168="",ISBLANK('Source'!B162)),"",'Source'!B162)</x:f>
      </x:c>
      <x:c r="D168" s="2" t="str">
        <x:f>IF(A168="","",UPPER(TRIM('Source'!C162&amp;"")))</x:f>
      </x:c>
      <x:c r="E168" s="15" t="str">
        <x:f>IF(OR(A168="",ISBLANK('Source'!D162)),"",'Source'!D162)</x:f>
      </x:c>
      <x:c r="F168" s="15" t="str">
        <x:f>IF(OR(A168="",ISBLANK('Source'!E162)),"",'Source'!E162)</x:f>
      </x:c>
      <x:c r="G168" s="15" t="str">
        <x:f>IF(OR(A168="",ISBLANK('Source'!F162)),"",'Source'!F162)</x:f>
      </x:c>
      <x:c r="H168" s="2" t="str">
        <x:f>IF(A168="","",COUNTIFS($B$8:$B$213,B168))</x:f>
      </x:c>
      <x:c r="I168" s="11" t="str">
        <x:f>IF(A168="","",IF(B168="","Missing ID; ","")&amp;IF(AND(B168&lt;&gt;"",H168&gt;1),"Duplicate ID; ","")&amp;IF(ISNUMBER(C168),IF(OR(C168&lt;'Report'!$C$5,C168&gt;'Report'!$F$5),"Outside reporting period; ",""),"Invalid date; ")&amp;IF(COUNTIFS('Guide'!$B$24:$B$26,D168)=0,"Unknown team; ","")&amp;IF(ISNUMBER(E168),IF(E168&lt;0,"Negative effort; ",""),"Missing/non-numeric effort; ")&amp;IF(ISNUMBER(F168),IF(F168&lt;0,"Negative resolution; ",""),"Missing/non-numeric resolution; ")&amp;IF(ISNUMBER(G168),IF(G168&lt;=0,"Invalid SLA target; ",""),"Missing/non-numeric SLA target; "))</x:f>
      </x:c>
      <x:c r="J168" s="2" t="str">
        <x:f>IF(A168="","",IF(I168="","Included","Review"))</x:f>
      </x:c>
      <x:c r="K168" s="2" t="str">
        <x:f>IF(J168="Included",IF(F168&lt;=G168,1,0),"")</x:f>
      </x:c>
      <x:c r="L168" s="13" t="str">
        <x:f>IF(J168="Included",C168-WEEKDAY(C168,2)+1,"")</x:f>
      </x:c>
      <x:c r="M168" s="15" t="n">
        <x:f>IF(J168="Included",E168,0)</x:f>
        <x:v>0</x:v>
      </x:c>
      <x:c r="N168" s="15" t="n">
        <x:f>IF(J168="Included",F168,0)</x:f>
        <x:v>0</x:v>
      </x:c>
    </x:row>
    <x:row r="169" ht="32" customHeight="1">
      <x:c r="A169" s="2" t="str">
        <x:f>IF(COUNTA('Source'!A163:F163)=0,"",163)</x:f>
      </x:c>
      <x:c r="B169" s="2" t="str">
        <x:f>IF(A169="","",UPPER(TRIM('Source'!A163&amp;"")))</x:f>
      </x:c>
      <x:c r="C169" s="13" t="str">
        <x:f>IF(OR(A169="",ISBLANK('Source'!B163)),"",'Source'!B163)</x:f>
      </x:c>
      <x:c r="D169" s="2" t="str">
        <x:f>IF(A169="","",UPPER(TRIM('Source'!C163&amp;"")))</x:f>
      </x:c>
      <x:c r="E169" s="15" t="str">
        <x:f>IF(OR(A169="",ISBLANK('Source'!D163)),"",'Source'!D163)</x:f>
      </x:c>
      <x:c r="F169" s="15" t="str">
        <x:f>IF(OR(A169="",ISBLANK('Source'!E163)),"",'Source'!E163)</x:f>
      </x:c>
      <x:c r="G169" s="15" t="str">
        <x:f>IF(OR(A169="",ISBLANK('Source'!F163)),"",'Source'!F163)</x:f>
      </x:c>
      <x:c r="H169" s="2" t="str">
        <x:f>IF(A169="","",COUNTIFS($B$8:$B$213,B169))</x:f>
      </x:c>
      <x:c r="I169" s="11" t="str">
        <x:f>IF(A169="","",IF(B169="","Missing ID; ","")&amp;IF(AND(B169&lt;&gt;"",H169&gt;1),"Duplicate ID; ","")&amp;IF(ISNUMBER(C169),IF(OR(C169&lt;'Report'!$C$5,C169&gt;'Report'!$F$5),"Outside reporting period; ",""),"Invalid date; ")&amp;IF(COUNTIFS('Guide'!$B$24:$B$26,D169)=0,"Unknown team; ","")&amp;IF(ISNUMBER(E169),IF(E169&lt;0,"Negative effort; ",""),"Missing/non-numeric effort; ")&amp;IF(ISNUMBER(F169),IF(F169&lt;0,"Negative resolution; ",""),"Missing/non-numeric resolution; ")&amp;IF(ISNUMBER(G169),IF(G169&lt;=0,"Invalid SLA target; ",""),"Missing/non-numeric SLA target; "))</x:f>
      </x:c>
      <x:c r="J169" s="2" t="str">
        <x:f>IF(A169="","",IF(I169="","Included","Review"))</x:f>
      </x:c>
      <x:c r="K169" s="2" t="str">
        <x:f>IF(J169="Included",IF(F169&lt;=G169,1,0),"")</x:f>
      </x:c>
      <x:c r="L169" s="13" t="str">
        <x:f>IF(J169="Included",C169-WEEKDAY(C169,2)+1,"")</x:f>
      </x:c>
      <x:c r="M169" s="15" t="n">
        <x:f>IF(J169="Included",E169,0)</x:f>
        <x:v>0</x:v>
      </x:c>
      <x:c r="N169" s="15" t="n">
        <x:f>IF(J169="Included",F169,0)</x:f>
        <x:v>0</x:v>
      </x:c>
    </x:row>
    <x:row r="170" ht="32" customHeight="1">
      <x:c r="A170" s="2" t="str">
        <x:f>IF(COUNTA('Source'!A164:F164)=0,"",164)</x:f>
      </x:c>
      <x:c r="B170" s="2" t="str">
        <x:f>IF(A170="","",UPPER(TRIM('Source'!A164&amp;"")))</x:f>
      </x:c>
      <x:c r="C170" s="13" t="str">
        <x:f>IF(OR(A170="",ISBLANK('Source'!B164)),"",'Source'!B164)</x:f>
      </x:c>
      <x:c r="D170" s="2" t="str">
        <x:f>IF(A170="","",UPPER(TRIM('Source'!C164&amp;"")))</x:f>
      </x:c>
      <x:c r="E170" s="15" t="str">
        <x:f>IF(OR(A170="",ISBLANK('Source'!D164)),"",'Source'!D164)</x:f>
      </x:c>
      <x:c r="F170" s="15" t="str">
        <x:f>IF(OR(A170="",ISBLANK('Source'!E164)),"",'Source'!E164)</x:f>
      </x:c>
      <x:c r="G170" s="15" t="str">
        <x:f>IF(OR(A170="",ISBLANK('Source'!F164)),"",'Source'!F164)</x:f>
      </x:c>
      <x:c r="H170" s="2" t="str">
        <x:f>IF(A170="","",COUNTIFS($B$8:$B$213,B170))</x:f>
      </x:c>
      <x:c r="I170" s="11" t="str">
        <x:f>IF(A170="","",IF(B170="","Missing ID; ","")&amp;IF(AND(B170&lt;&gt;"",H170&gt;1),"Duplicate ID; ","")&amp;IF(ISNUMBER(C170),IF(OR(C170&lt;'Report'!$C$5,C170&gt;'Report'!$F$5),"Outside reporting period; ",""),"Invalid date; ")&amp;IF(COUNTIFS('Guide'!$B$24:$B$26,D170)=0,"Unknown team; ","")&amp;IF(ISNUMBER(E170),IF(E170&lt;0,"Negative effort; ",""),"Missing/non-numeric effort; ")&amp;IF(ISNUMBER(F170),IF(F170&lt;0,"Negative resolution; ",""),"Missing/non-numeric resolution; ")&amp;IF(ISNUMBER(G170),IF(G170&lt;=0,"Invalid SLA target; ",""),"Missing/non-numeric SLA target; "))</x:f>
      </x:c>
      <x:c r="J170" s="2" t="str">
        <x:f>IF(A170="","",IF(I170="","Included","Review"))</x:f>
      </x:c>
      <x:c r="K170" s="2" t="str">
        <x:f>IF(J170="Included",IF(F170&lt;=G170,1,0),"")</x:f>
      </x:c>
      <x:c r="L170" s="13" t="str">
        <x:f>IF(J170="Included",C170-WEEKDAY(C170,2)+1,"")</x:f>
      </x:c>
      <x:c r="M170" s="15" t="n">
        <x:f>IF(J170="Included",E170,0)</x:f>
        <x:v>0</x:v>
      </x:c>
      <x:c r="N170" s="15" t="n">
        <x:f>IF(J170="Included",F170,0)</x:f>
        <x:v>0</x:v>
      </x:c>
    </x:row>
    <x:row r="171" ht="32" customHeight="1">
      <x:c r="A171" s="2" t="str">
        <x:f>IF(COUNTA('Source'!A165:F165)=0,"",165)</x:f>
      </x:c>
      <x:c r="B171" s="2" t="str">
        <x:f>IF(A171="","",UPPER(TRIM('Source'!A165&amp;"")))</x:f>
      </x:c>
      <x:c r="C171" s="13" t="str">
        <x:f>IF(OR(A171="",ISBLANK('Source'!B165)),"",'Source'!B165)</x:f>
      </x:c>
      <x:c r="D171" s="2" t="str">
        <x:f>IF(A171="","",UPPER(TRIM('Source'!C165&amp;"")))</x:f>
      </x:c>
      <x:c r="E171" s="15" t="str">
        <x:f>IF(OR(A171="",ISBLANK('Source'!D165)),"",'Source'!D165)</x:f>
      </x:c>
      <x:c r="F171" s="15" t="str">
        <x:f>IF(OR(A171="",ISBLANK('Source'!E165)),"",'Source'!E165)</x:f>
      </x:c>
      <x:c r="G171" s="15" t="str">
        <x:f>IF(OR(A171="",ISBLANK('Source'!F165)),"",'Source'!F165)</x:f>
      </x:c>
      <x:c r="H171" s="2" t="str">
        <x:f>IF(A171="","",COUNTIFS($B$8:$B$213,B171))</x:f>
      </x:c>
      <x:c r="I171" s="11" t="str">
        <x:f>IF(A171="","",IF(B171="","Missing ID; ","")&amp;IF(AND(B171&lt;&gt;"",H171&gt;1),"Duplicate ID; ","")&amp;IF(ISNUMBER(C171),IF(OR(C171&lt;'Report'!$C$5,C171&gt;'Report'!$F$5),"Outside reporting period; ",""),"Invalid date; ")&amp;IF(COUNTIFS('Guide'!$B$24:$B$26,D171)=0,"Unknown team; ","")&amp;IF(ISNUMBER(E171),IF(E171&lt;0,"Negative effort; ",""),"Missing/non-numeric effort; ")&amp;IF(ISNUMBER(F171),IF(F171&lt;0,"Negative resolution; ",""),"Missing/non-numeric resolution; ")&amp;IF(ISNUMBER(G171),IF(G171&lt;=0,"Invalid SLA target; ",""),"Missing/non-numeric SLA target; "))</x:f>
      </x:c>
      <x:c r="J171" s="2" t="str">
        <x:f>IF(A171="","",IF(I171="","Included","Review"))</x:f>
      </x:c>
      <x:c r="K171" s="2" t="str">
        <x:f>IF(J171="Included",IF(F171&lt;=G171,1,0),"")</x:f>
      </x:c>
      <x:c r="L171" s="13" t="str">
        <x:f>IF(J171="Included",C171-WEEKDAY(C171,2)+1,"")</x:f>
      </x:c>
      <x:c r="M171" s="15" t="n">
        <x:f>IF(J171="Included",E171,0)</x:f>
        <x:v>0</x:v>
      </x:c>
      <x:c r="N171" s="15" t="n">
        <x:f>IF(J171="Included",F171,0)</x:f>
        <x:v>0</x:v>
      </x:c>
    </x:row>
    <x:row r="172" ht="32" customHeight="1">
      <x:c r="A172" s="2" t="str">
        <x:f>IF(COUNTA('Source'!A166:F166)=0,"",166)</x:f>
      </x:c>
      <x:c r="B172" s="2" t="str">
        <x:f>IF(A172="","",UPPER(TRIM('Source'!A166&amp;"")))</x:f>
      </x:c>
      <x:c r="C172" s="13" t="str">
        <x:f>IF(OR(A172="",ISBLANK('Source'!B166)),"",'Source'!B166)</x:f>
      </x:c>
      <x:c r="D172" s="2" t="str">
        <x:f>IF(A172="","",UPPER(TRIM('Source'!C166&amp;"")))</x:f>
      </x:c>
      <x:c r="E172" s="15" t="str">
        <x:f>IF(OR(A172="",ISBLANK('Source'!D166)),"",'Source'!D166)</x:f>
      </x:c>
      <x:c r="F172" s="15" t="str">
        <x:f>IF(OR(A172="",ISBLANK('Source'!E166)),"",'Source'!E166)</x:f>
      </x:c>
      <x:c r="G172" s="15" t="str">
        <x:f>IF(OR(A172="",ISBLANK('Source'!F166)),"",'Source'!F166)</x:f>
      </x:c>
      <x:c r="H172" s="2" t="str">
        <x:f>IF(A172="","",COUNTIFS($B$8:$B$213,B172))</x:f>
      </x:c>
      <x:c r="I172" s="11" t="str">
        <x:f>IF(A172="","",IF(B172="","Missing ID; ","")&amp;IF(AND(B172&lt;&gt;"",H172&gt;1),"Duplicate ID; ","")&amp;IF(ISNUMBER(C172),IF(OR(C172&lt;'Report'!$C$5,C172&gt;'Report'!$F$5),"Outside reporting period; ",""),"Invalid date; ")&amp;IF(COUNTIFS('Guide'!$B$24:$B$26,D172)=0,"Unknown team; ","")&amp;IF(ISNUMBER(E172),IF(E172&lt;0,"Negative effort; ",""),"Missing/non-numeric effort; ")&amp;IF(ISNUMBER(F172),IF(F172&lt;0,"Negative resolution; ",""),"Missing/non-numeric resolution; ")&amp;IF(ISNUMBER(G172),IF(G172&lt;=0,"Invalid SLA target; ",""),"Missing/non-numeric SLA target; "))</x:f>
      </x:c>
      <x:c r="J172" s="2" t="str">
        <x:f>IF(A172="","",IF(I172="","Included","Review"))</x:f>
      </x:c>
      <x:c r="K172" s="2" t="str">
        <x:f>IF(J172="Included",IF(F172&lt;=G172,1,0),"")</x:f>
      </x:c>
      <x:c r="L172" s="13" t="str">
        <x:f>IF(J172="Included",C172-WEEKDAY(C172,2)+1,"")</x:f>
      </x:c>
      <x:c r="M172" s="15" t="n">
        <x:f>IF(J172="Included",E172,0)</x:f>
        <x:v>0</x:v>
      </x:c>
      <x:c r="N172" s="15" t="n">
        <x:f>IF(J172="Included",F172,0)</x:f>
        <x:v>0</x:v>
      </x:c>
    </x:row>
    <x:row r="173" ht="32" customHeight="1">
      <x:c r="A173" s="2" t="str">
        <x:f>IF(COUNTA('Source'!A167:F167)=0,"",167)</x:f>
      </x:c>
      <x:c r="B173" s="2" t="str">
        <x:f>IF(A173="","",UPPER(TRIM('Source'!A167&amp;"")))</x:f>
      </x:c>
      <x:c r="C173" s="13" t="str">
        <x:f>IF(OR(A173="",ISBLANK('Source'!B167)),"",'Source'!B167)</x:f>
      </x:c>
      <x:c r="D173" s="2" t="str">
        <x:f>IF(A173="","",UPPER(TRIM('Source'!C167&amp;"")))</x:f>
      </x:c>
      <x:c r="E173" s="15" t="str">
        <x:f>IF(OR(A173="",ISBLANK('Source'!D167)),"",'Source'!D167)</x:f>
      </x:c>
      <x:c r="F173" s="15" t="str">
        <x:f>IF(OR(A173="",ISBLANK('Source'!E167)),"",'Source'!E167)</x:f>
      </x:c>
      <x:c r="G173" s="15" t="str">
        <x:f>IF(OR(A173="",ISBLANK('Source'!F167)),"",'Source'!F167)</x:f>
      </x:c>
      <x:c r="H173" s="2" t="str">
        <x:f>IF(A173="","",COUNTIFS($B$8:$B$213,B173))</x:f>
      </x:c>
      <x:c r="I173" s="11" t="str">
        <x:f>IF(A173="","",IF(B173="","Missing ID; ","")&amp;IF(AND(B173&lt;&gt;"",H173&gt;1),"Duplicate ID; ","")&amp;IF(ISNUMBER(C173),IF(OR(C173&lt;'Report'!$C$5,C173&gt;'Report'!$F$5),"Outside reporting period; ",""),"Invalid date; ")&amp;IF(COUNTIFS('Guide'!$B$24:$B$26,D173)=0,"Unknown team; ","")&amp;IF(ISNUMBER(E173),IF(E173&lt;0,"Negative effort; ",""),"Missing/non-numeric effort; ")&amp;IF(ISNUMBER(F173),IF(F173&lt;0,"Negative resolution; ",""),"Missing/non-numeric resolution; ")&amp;IF(ISNUMBER(G173),IF(G173&lt;=0,"Invalid SLA target; ",""),"Missing/non-numeric SLA target; "))</x:f>
      </x:c>
      <x:c r="J173" s="2" t="str">
        <x:f>IF(A173="","",IF(I173="","Included","Review"))</x:f>
      </x:c>
      <x:c r="K173" s="2" t="str">
        <x:f>IF(J173="Included",IF(F173&lt;=G173,1,0),"")</x:f>
      </x:c>
      <x:c r="L173" s="13" t="str">
        <x:f>IF(J173="Included",C173-WEEKDAY(C173,2)+1,"")</x:f>
      </x:c>
      <x:c r="M173" s="15" t="n">
        <x:f>IF(J173="Included",E173,0)</x:f>
        <x:v>0</x:v>
      </x:c>
      <x:c r="N173" s="15" t="n">
        <x:f>IF(J173="Included",F173,0)</x:f>
        <x:v>0</x:v>
      </x:c>
    </x:row>
    <x:row r="174" ht="32" customHeight="1">
      <x:c r="A174" s="2" t="str">
        <x:f>IF(COUNTA('Source'!A168:F168)=0,"",168)</x:f>
      </x:c>
      <x:c r="B174" s="2" t="str">
        <x:f>IF(A174="","",UPPER(TRIM('Source'!A168&amp;"")))</x:f>
      </x:c>
      <x:c r="C174" s="13" t="str">
        <x:f>IF(OR(A174="",ISBLANK('Source'!B168)),"",'Source'!B168)</x:f>
      </x:c>
      <x:c r="D174" s="2" t="str">
        <x:f>IF(A174="","",UPPER(TRIM('Source'!C168&amp;"")))</x:f>
      </x:c>
      <x:c r="E174" s="15" t="str">
        <x:f>IF(OR(A174="",ISBLANK('Source'!D168)),"",'Source'!D168)</x:f>
      </x:c>
      <x:c r="F174" s="15" t="str">
        <x:f>IF(OR(A174="",ISBLANK('Source'!E168)),"",'Source'!E168)</x:f>
      </x:c>
      <x:c r="G174" s="15" t="str">
        <x:f>IF(OR(A174="",ISBLANK('Source'!F168)),"",'Source'!F168)</x:f>
      </x:c>
      <x:c r="H174" s="2" t="str">
        <x:f>IF(A174="","",COUNTIFS($B$8:$B$213,B174))</x:f>
      </x:c>
      <x:c r="I174" s="11" t="str">
        <x:f>IF(A174="","",IF(B174="","Missing ID; ","")&amp;IF(AND(B174&lt;&gt;"",H174&gt;1),"Duplicate ID; ","")&amp;IF(ISNUMBER(C174),IF(OR(C174&lt;'Report'!$C$5,C174&gt;'Report'!$F$5),"Outside reporting period; ",""),"Invalid date; ")&amp;IF(COUNTIFS('Guide'!$B$24:$B$26,D174)=0,"Unknown team; ","")&amp;IF(ISNUMBER(E174),IF(E174&lt;0,"Negative effort; ",""),"Missing/non-numeric effort; ")&amp;IF(ISNUMBER(F174),IF(F174&lt;0,"Negative resolution; ",""),"Missing/non-numeric resolution; ")&amp;IF(ISNUMBER(G174),IF(G174&lt;=0,"Invalid SLA target; ",""),"Missing/non-numeric SLA target; "))</x:f>
      </x:c>
      <x:c r="J174" s="2" t="str">
        <x:f>IF(A174="","",IF(I174="","Included","Review"))</x:f>
      </x:c>
      <x:c r="K174" s="2" t="str">
        <x:f>IF(J174="Included",IF(F174&lt;=G174,1,0),"")</x:f>
      </x:c>
      <x:c r="L174" s="13" t="str">
        <x:f>IF(J174="Included",C174-WEEKDAY(C174,2)+1,"")</x:f>
      </x:c>
      <x:c r="M174" s="15" t="n">
        <x:f>IF(J174="Included",E174,0)</x:f>
        <x:v>0</x:v>
      </x:c>
      <x:c r="N174" s="15" t="n">
        <x:f>IF(J174="Included",F174,0)</x:f>
        <x:v>0</x:v>
      </x:c>
    </x:row>
    <x:row r="175" ht="32" customHeight="1">
      <x:c r="A175" s="2" t="str">
        <x:f>IF(COUNTA('Source'!A169:F169)=0,"",169)</x:f>
      </x:c>
      <x:c r="B175" s="2" t="str">
        <x:f>IF(A175="","",UPPER(TRIM('Source'!A169&amp;"")))</x:f>
      </x:c>
      <x:c r="C175" s="13" t="str">
        <x:f>IF(OR(A175="",ISBLANK('Source'!B169)),"",'Source'!B169)</x:f>
      </x:c>
      <x:c r="D175" s="2" t="str">
        <x:f>IF(A175="","",UPPER(TRIM('Source'!C169&amp;"")))</x:f>
      </x:c>
      <x:c r="E175" s="15" t="str">
        <x:f>IF(OR(A175="",ISBLANK('Source'!D169)),"",'Source'!D169)</x:f>
      </x:c>
      <x:c r="F175" s="15" t="str">
        <x:f>IF(OR(A175="",ISBLANK('Source'!E169)),"",'Source'!E169)</x:f>
      </x:c>
      <x:c r="G175" s="15" t="str">
        <x:f>IF(OR(A175="",ISBLANK('Source'!F169)),"",'Source'!F169)</x:f>
      </x:c>
      <x:c r="H175" s="2" t="str">
        <x:f>IF(A175="","",COUNTIFS($B$8:$B$213,B175))</x:f>
      </x:c>
      <x:c r="I175" s="11" t="str">
        <x:f>IF(A175="","",IF(B175="","Missing ID; ","")&amp;IF(AND(B175&lt;&gt;"",H175&gt;1),"Duplicate ID; ","")&amp;IF(ISNUMBER(C175),IF(OR(C175&lt;'Report'!$C$5,C175&gt;'Report'!$F$5),"Outside reporting period; ",""),"Invalid date; ")&amp;IF(COUNTIFS('Guide'!$B$24:$B$26,D175)=0,"Unknown team; ","")&amp;IF(ISNUMBER(E175),IF(E175&lt;0,"Negative effort; ",""),"Missing/non-numeric effort; ")&amp;IF(ISNUMBER(F175),IF(F175&lt;0,"Negative resolution; ",""),"Missing/non-numeric resolution; ")&amp;IF(ISNUMBER(G175),IF(G175&lt;=0,"Invalid SLA target; ",""),"Missing/non-numeric SLA target; "))</x:f>
      </x:c>
      <x:c r="J175" s="2" t="str">
        <x:f>IF(A175="","",IF(I175="","Included","Review"))</x:f>
      </x:c>
      <x:c r="K175" s="2" t="str">
        <x:f>IF(J175="Included",IF(F175&lt;=G175,1,0),"")</x:f>
      </x:c>
      <x:c r="L175" s="13" t="str">
        <x:f>IF(J175="Included",C175-WEEKDAY(C175,2)+1,"")</x:f>
      </x:c>
      <x:c r="M175" s="15" t="n">
        <x:f>IF(J175="Included",E175,0)</x:f>
        <x:v>0</x:v>
      </x:c>
      <x:c r="N175" s="15" t="n">
        <x:f>IF(J175="Included",F175,0)</x:f>
        <x:v>0</x:v>
      </x:c>
    </x:row>
    <x:row r="176" ht="32" customHeight="1">
      <x:c r="A176" s="2" t="str">
        <x:f>IF(COUNTA('Source'!A170:F170)=0,"",170)</x:f>
      </x:c>
      <x:c r="B176" s="2" t="str">
        <x:f>IF(A176="","",UPPER(TRIM('Source'!A170&amp;"")))</x:f>
      </x:c>
      <x:c r="C176" s="13" t="str">
        <x:f>IF(OR(A176="",ISBLANK('Source'!B170)),"",'Source'!B170)</x:f>
      </x:c>
      <x:c r="D176" s="2" t="str">
        <x:f>IF(A176="","",UPPER(TRIM('Source'!C170&amp;"")))</x:f>
      </x:c>
      <x:c r="E176" s="15" t="str">
        <x:f>IF(OR(A176="",ISBLANK('Source'!D170)),"",'Source'!D170)</x:f>
      </x:c>
      <x:c r="F176" s="15" t="str">
        <x:f>IF(OR(A176="",ISBLANK('Source'!E170)),"",'Source'!E170)</x:f>
      </x:c>
      <x:c r="G176" s="15" t="str">
        <x:f>IF(OR(A176="",ISBLANK('Source'!F170)),"",'Source'!F170)</x:f>
      </x:c>
      <x:c r="H176" s="2" t="str">
        <x:f>IF(A176="","",COUNTIFS($B$8:$B$213,B176))</x:f>
      </x:c>
      <x:c r="I176" s="11" t="str">
        <x:f>IF(A176="","",IF(B176="","Missing ID; ","")&amp;IF(AND(B176&lt;&gt;"",H176&gt;1),"Duplicate ID; ","")&amp;IF(ISNUMBER(C176),IF(OR(C176&lt;'Report'!$C$5,C176&gt;'Report'!$F$5),"Outside reporting period; ",""),"Invalid date; ")&amp;IF(COUNTIFS('Guide'!$B$24:$B$26,D176)=0,"Unknown team; ","")&amp;IF(ISNUMBER(E176),IF(E176&lt;0,"Negative effort; ",""),"Missing/non-numeric effort; ")&amp;IF(ISNUMBER(F176),IF(F176&lt;0,"Negative resolution; ",""),"Missing/non-numeric resolution; ")&amp;IF(ISNUMBER(G176),IF(G176&lt;=0,"Invalid SLA target; ",""),"Missing/non-numeric SLA target; "))</x:f>
      </x:c>
      <x:c r="J176" s="2" t="str">
        <x:f>IF(A176="","",IF(I176="","Included","Review"))</x:f>
      </x:c>
      <x:c r="K176" s="2" t="str">
        <x:f>IF(J176="Included",IF(F176&lt;=G176,1,0),"")</x:f>
      </x:c>
      <x:c r="L176" s="13" t="str">
        <x:f>IF(J176="Included",C176-WEEKDAY(C176,2)+1,"")</x:f>
      </x:c>
      <x:c r="M176" s="15" t="n">
        <x:f>IF(J176="Included",E176,0)</x:f>
        <x:v>0</x:v>
      </x:c>
      <x:c r="N176" s="15" t="n">
        <x:f>IF(J176="Included",F176,0)</x:f>
        <x:v>0</x:v>
      </x:c>
    </x:row>
    <x:row r="177" ht="32" customHeight="1">
      <x:c r="A177" s="2" t="str">
        <x:f>IF(COUNTA('Source'!A171:F171)=0,"",171)</x:f>
      </x:c>
      <x:c r="B177" s="2" t="str">
        <x:f>IF(A177="","",UPPER(TRIM('Source'!A171&amp;"")))</x:f>
      </x:c>
      <x:c r="C177" s="13" t="str">
        <x:f>IF(OR(A177="",ISBLANK('Source'!B171)),"",'Source'!B171)</x:f>
      </x:c>
      <x:c r="D177" s="2" t="str">
        <x:f>IF(A177="","",UPPER(TRIM('Source'!C171&amp;"")))</x:f>
      </x:c>
      <x:c r="E177" s="15" t="str">
        <x:f>IF(OR(A177="",ISBLANK('Source'!D171)),"",'Source'!D171)</x:f>
      </x:c>
      <x:c r="F177" s="15" t="str">
        <x:f>IF(OR(A177="",ISBLANK('Source'!E171)),"",'Source'!E171)</x:f>
      </x:c>
      <x:c r="G177" s="15" t="str">
        <x:f>IF(OR(A177="",ISBLANK('Source'!F171)),"",'Source'!F171)</x:f>
      </x:c>
      <x:c r="H177" s="2" t="str">
        <x:f>IF(A177="","",COUNTIFS($B$8:$B$213,B177))</x:f>
      </x:c>
      <x:c r="I177" s="11" t="str">
        <x:f>IF(A177="","",IF(B177="","Missing ID; ","")&amp;IF(AND(B177&lt;&gt;"",H177&gt;1),"Duplicate ID; ","")&amp;IF(ISNUMBER(C177),IF(OR(C177&lt;'Report'!$C$5,C177&gt;'Report'!$F$5),"Outside reporting period; ",""),"Invalid date; ")&amp;IF(COUNTIFS('Guide'!$B$24:$B$26,D177)=0,"Unknown team; ","")&amp;IF(ISNUMBER(E177),IF(E177&lt;0,"Negative effort; ",""),"Missing/non-numeric effort; ")&amp;IF(ISNUMBER(F177),IF(F177&lt;0,"Negative resolution; ",""),"Missing/non-numeric resolution; ")&amp;IF(ISNUMBER(G177),IF(G177&lt;=0,"Invalid SLA target; ",""),"Missing/non-numeric SLA target; "))</x:f>
      </x:c>
      <x:c r="J177" s="2" t="str">
        <x:f>IF(A177="","",IF(I177="","Included","Review"))</x:f>
      </x:c>
      <x:c r="K177" s="2" t="str">
        <x:f>IF(J177="Included",IF(F177&lt;=G177,1,0),"")</x:f>
      </x:c>
      <x:c r="L177" s="13" t="str">
        <x:f>IF(J177="Included",C177-WEEKDAY(C177,2)+1,"")</x:f>
      </x:c>
      <x:c r="M177" s="15" t="n">
        <x:f>IF(J177="Included",E177,0)</x:f>
        <x:v>0</x:v>
      </x:c>
      <x:c r="N177" s="15" t="n">
        <x:f>IF(J177="Included",F177,0)</x:f>
        <x:v>0</x:v>
      </x:c>
    </x:row>
    <x:row r="178" ht="32" customHeight="1">
      <x:c r="A178" s="2" t="str">
        <x:f>IF(COUNTA('Source'!A172:F172)=0,"",172)</x:f>
      </x:c>
      <x:c r="B178" s="2" t="str">
        <x:f>IF(A178="","",UPPER(TRIM('Source'!A172&amp;"")))</x:f>
      </x:c>
      <x:c r="C178" s="13" t="str">
        <x:f>IF(OR(A178="",ISBLANK('Source'!B172)),"",'Source'!B172)</x:f>
      </x:c>
      <x:c r="D178" s="2" t="str">
        <x:f>IF(A178="","",UPPER(TRIM('Source'!C172&amp;"")))</x:f>
      </x:c>
      <x:c r="E178" s="15" t="str">
        <x:f>IF(OR(A178="",ISBLANK('Source'!D172)),"",'Source'!D172)</x:f>
      </x:c>
      <x:c r="F178" s="15" t="str">
        <x:f>IF(OR(A178="",ISBLANK('Source'!E172)),"",'Source'!E172)</x:f>
      </x:c>
      <x:c r="G178" s="15" t="str">
        <x:f>IF(OR(A178="",ISBLANK('Source'!F172)),"",'Source'!F172)</x:f>
      </x:c>
      <x:c r="H178" s="2" t="str">
        <x:f>IF(A178="","",COUNTIFS($B$8:$B$213,B178))</x:f>
      </x:c>
      <x:c r="I178" s="11" t="str">
        <x:f>IF(A178="","",IF(B178="","Missing ID; ","")&amp;IF(AND(B178&lt;&gt;"",H178&gt;1),"Duplicate ID; ","")&amp;IF(ISNUMBER(C178),IF(OR(C178&lt;'Report'!$C$5,C178&gt;'Report'!$F$5),"Outside reporting period; ",""),"Invalid date; ")&amp;IF(COUNTIFS('Guide'!$B$24:$B$26,D178)=0,"Unknown team; ","")&amp;IF(ISNUMBER(E178),IF(E178&lt;0,"Negative effort; ",""),"Missing/non-numeric effort; ")&amp;IF(ISNUMBER(F178),IF(F178&lt;0,"Negative resolution; ",""),"Missing/non-numeric resolution; ")&amp;IF(ISNUMBER(G178),IF(G178&lt;=0,"Invalid SLA target; ",""),"Missing/non-numeric SLA target; "))</x:f>
      </x:c>
      <x:c r="J178" s="2" t="str">
        <x:f>IF(A178="","",IF(I178="","Included","Review"))</x:f>
      </x:c>
      <x:c r="K178" s="2" t="str">
        <x:f>IF(J178="Included",IF(F178&lt;=G178,1,0),"")</x:f>
      </x:c>
      <x:c r="L178" s="13" t="str">
        <x:f>IF(J178="Included",C178-WEEKDAY(C178,2)+1,"")</x:f>
      </x:c>
      <x:c r="M178" s="15" t="n">
        <x:f>IF(J178="Included",E178,0)</x:f>
        <x:v>0</x:v>
      </x:c>
      <x:c r="N178" s="15" t="n">
        <x:f>IF(J178="Included",F178,0)</x:f>
        <x:v>0</x:v>
      </x:c>
    </x:row>
    <x:row r="179" ht="32" customHeight="1">
      <x:c r="A179" s="2" t="str">
        <x:f>IF(COUNTA('Source'!A173:F173)=0,"",173)</x:f>
      </x:c>
      <x:c r="B179" s="2" t="str">
        <x:f>IF(A179="","",UPPER(TRIM('Source'!A173&amp;"")))</x:f>
      </x:c>
      <x:c r="C179" s="13" t="str">
        <x:f>IF(OR(A179="",ISBLANK('Source'!B173)),"",'Source'!B173)</x:f>
      </x:c>
      <x:c r="D179" s="2" t="str">
        <x:f>IF(A179="","",UPPER(TRIM('Source'!C173&amp;"")))</x:f>
      </x:c>
      <x:c r="E179" s="15" t="str">
        <x:f>IF(OR(A179="",ISBLANK('Source'!D173)),"",'Source'!D173)</x:f>
      </x:c>
      <x:c r="F179" s="15" t="str">
        <x:f>IF(OR(A179="",ISBLANK('Source'!E173)),"",'Source'!E173)</x:f>
      </x:c>
      <x:c r="G179" s="15" t="str">
        <x:f>IF(OR(A179="",ISBLANK('Source'!F173)),"",'Source'!F173)</x:f>
      </x:c>
      <x:c r="H179" s="2" t="str">
        <x:f>IF(A179="","",COUNTIFS($B$8:$B$213,B179))</x:f>
      </x:c>
      <x:c r="I179" s="11" t="str">
        <x:f>IF(A179="","",IF(B179="","Missing ID; ","")&amp;IF(AND(B179&lt;&gt;"",H179&gt;1),"Duplicate ID; ","")&amp;IF(ISNUMBER(C179),IF(OR(C179&lt;'Report'!$C$5,C179&gt;'Report'!$F$5),"Outside reporting period; ",""),"Invalid date; ")&amp;IF(COUNTIFS('Guide'!$B$24:$B$26,D179)=0,"Unknown team; ","")&amp;IF(ISNUMBER(E179),IF(E179&lt;0,"Negative effort; ",""),"Missing/non-numeric effort; ")&amp;IF(ISNUMBER(F179),IF(F179&lt;0,"Negative resolution; ",""),"Missing/non-numeric resolution; ")&amp;IF(ISNUMBER(G179),IF(G179&lt;=0,"Invalid SLA target; ",""),"Missing/non-numeric SLA target; "))</x:f>
      </x:c>
      <x:c r="J179" s="2" t="str">
        <x:f>IF(A179="","",IF(I179="","Included","Review"))</x:f>
      </x:c>
      <x:c r="K179" s="2" t="str">
        <x:f>IF(J179="Included",IF(F179&lt;=G179,1,0),"")</x:f>
      </x:c>
      <x:c r="L179" s="13" t="str">
        <x:f>IF(J179="Included",C179-WEEKDAY(C179,2)+1,"")</x:f>
      </x:c>
      <x:c r="M179" s="15" t="n">
        <x:f>IF(J179="Included",E179,0)</x:f>
        <x:v>0</x:v>
      </x:c>
      <x:c r="N179" s="15" t="n">
        <x:f>IF(J179="Included",F179,0)</x:f>
        <x:v>0</x:v>
      </x:c>
    </x:row>
    <x:row r="180" ht="32" customHeight="1">
      <x:c r="A180" s="2" t="str">
        <x:f>IF(COUNTA('Source'!A174:F174)=0,"",174)</x:f>
      </x:c>
      <x:c r="B180" s="2" t="str">
        <x:f>IF(A180="","",UPPER(TRIM('Source'!A174&amp;"")))</x:f>
      </x:c>
      <x:c r="C180" s="13" t="str">
        <x:f>IF(OR(A180="",ISBLANK('Source'!B174)),"",'Source'!B174)</x:f>
      </x:c>
      <x:c r="D180" s="2" t="str">
        <x:f>IF(A180="","",UPPER(TRIM('Source'!C174&amp;"")))</x:f>
      </x:c>
      <x:c r="E180" s="15" t="str">
        <x:f>IF(OR(A180="",ISBLANK('Source'!D174)),"",'Source'!D174)</x:f>
      </x:c>
      <x:c r="F180" s="15" t="str">
        <x:f>IF(OR(A180="",ISBLANK('Source'!E174)),"",'Source'!E174)</x:f>
      </x:c>
      <x:c r="G180" s="15" t="str">
        <x:f>IF(OR(A180="",ISBLANK('Source'!F174)),"",'Source'!F174)</x:f>
      </x:c>
      <x:c r="H180" s="2" t="str">
        <x:f>IF(A180="","",COUNTIFS($B$8:$B$213,B180))</x:f>
      </x:c>
      <x:c r="I180" s="11" t="str">
        <x:f>IF(A180="","",IF(B180="","Missing ID; ","")&amp;IF(AND(B180&lt;&gt;"",H180&gt;1),"Duplicate ID; ","")&amp;IF(ISNUMBER(C180),IF(OR(C180&lt;'Report'!$C$5,C180&gt;'Report'!$F$5),"Outside reporting period; ",""),"Invalid date; ")&amp;IF(COUNTIFS('Guide'!$B$24:$B$26,D180)=0,"Unknown team; ","")&amp;IF(ISNUMBER(E180),IF(E180&lt;0,"Negative effort; ",""),"Missing/non-numeric effort; ")&amp;IF(ISNUMBER(F180),IF(F180&lt;0,"Negative resolution; ",""),"Missing/non-numeric resolution; ")&amp;IF(ISNUMBER(G180),IF(G180&lt;=0,"Invalid SLA target; ",""),"Missing/non-numeric SLA target; "))</x:f>
      </x:c>
      <x:c r="J180" s="2" t="str">
        <x:f>IF(A180="","",IF(I180="","Included","Review"))</x:f>
      </x:c>
      <x:c r="K180" s="2" t="str">
        <x:f>IF(J180="Included",IF(F180&lt;=G180,1,0),"")</x:f>
      </x:c>
      <x:c r="L180" s="13" t="str">
        <x:f>IF(J180="Included",C180-WEEKDAY(C180,2)+1,"")</x:f>
      </x:c>
      <x:c r="M180" s="15" t="n">
        <x:f>IF(J180="Included",E180,0)</x:f>
        <x:v>0</x:v>
      </x:c>
      <x:c r="N180" s="15" t="n">
        <x:f>IF(J180="Included",F180,0)</x:f>
        <x:v>0</x:v>
      </x:c>
    </x:row>
    <x:row r="181" ht="32" customHeight="1">
      <x:c r="A181" s="2" t="str">
        <x:f>IF(COUNTA('Source'!A175:F175)=0,"",175)</x:f>
      </x:c>
      <x:c r="B181" s="2" t="str">
        <x:f>IF(A181="","",UPPER(TRIM('Source'!A175&amp;"")))</x:f>
      </x:c>
      <x:c r="C181" s="13" t="str">
        <x:f>IF(OR(A181="",ISBLANK('Source'!B175)),"",'Source'!B175)</x:f>
      </x:c>
      <x:c r="D181" s="2" t="str">
        <x:f>IF(A181="","",UPPER(TRIM('Source'!C175&amp;"")))</x:f>
      </x:c>
      <x:c r="E181" s="15" t="str">
        <x:f>IF(OR(A181="",ISBLANK('Source'!D175)),"",'Source'!D175)</x:f>
      </x:c>
      <x:c r="F181" s="15" t="str">
        <x:f>IF(OR(A181="",ISBLANK('Source'!E175)),"",'Source'!E175)</x:f>
      </x:c>
      <x:c r="G181" s="15" t="str">
        <x:f>IF(OR(A181="",ISBLANK('Source'!F175)),"",'Source'!F175)</x:f>
      </x:c>
      <x:c r="H181" s="2" t="str">
        <x:f>IF(A181="","",COUNTIFS($B$8:$B$213,B181))</x:f>
      </x:c>
      <x:c r="I181" s="11" t="str">
        <x:f>IF(A181="","",IF(B181="","Missing ID; ","")&amp;IF(AND(B181&lt;&gt;"",H181&gt;1),"Duplicate ID; ","")&amp;IF(ISNUMBER(C181),IF(OR(C181&lt;'Report'!$C$5,C181&gt;'Report'!$F$5),"Outside reporting period; ",""),"Invalid date; ")&amp;IF(COUNTIFS('Guide'!$B$24:$B$26,D181)=0,"Unknown team; ","")&amp;IF(ISNUMBER(E181),IF(E181&lt;0,"Negative effort; ",""),"Missing/non-numeric effort; ")&amp;IF(ISNUMBER(F181),IF(F181&lt;0,"Negative resolution; ",""),"Missing/non-numeric resolution; ")&amp;IF(ISNUMBER(G181),IF(G181&lt;=0,"Invalid SLA target; ",""),"Missing/non-numeric SLA target; "))</x:f>
      </x:c>
      <x:c r="J181" s="2" t="str">
        <x:f>IF(A181="","",IF(I181="","Included","Review"))</x:f>
      </x:c>
      <x:c r="K181" s="2" t="str">
        <x:f>IF(J181="Included",IF(F181&lt;=G181,1,0),"")</x:f>
      </x:c>
      <x:c r="L181" s="13" t="str">
        <x:f>IF(J181="Included",C181-WEEKDAY(C181,2)+1,"")</x:f>
      </x:c>
      <x:c r="M181" s="15" t="n">
        <x:f>IF(J181="Included",E181,0)</x:f>
        <x:v>0</x:v>
      </x:c>
      <x:c r="N181" s="15" t="n">
        <x:f>IF(J181="Included",F181,0)</x:f>
        <x:v>0</x:v>
      </x:c>
    </x:row>
    <x:row r="182" ht="32" customHeight="1">
      <x:c r="A182" s="2" t="str">
        <x:f>IF(COUNTA('Source'!A176:F176)=0,"",176)</x:f>
      </x:c>
      <x:c r="B182" s="2" t="str">
        <x:f>IF(A182="","",UPPER(TRIM('Source'!A176&amp;"")))</x:f>
      </x:c>
      <x:c r="C182" s="13" t="str">
        <x:f>IF(OR(A182="",ISBLANK('Source'!B176)),"",'Source'!B176)</x:f>
      </x:c>
      <x:c r="D182" s="2" t="str">
        <x:f>IF(A182="","",UPPER(TRIM('Source'!C176&amp;"")))</x:f>
      </x:c>
      <x:c r="E182" s="15" t="str">
        <x:f>IF(OR(A182="",ISBLANK('Source'!D176)),"",'Source'!D176)</x:f>
      </x:c>
      <x:c r="F182" s="15" t="str">
        <x:f>IF(OR(A182="",ISBLANK('Source'!E176)),"",'Source'!E176)</x:f>
      </x:c>
      <x:c r="G182" s="15" t="str">
        <x:f>IF(OR(A182="",ISBLANK('Source'!F176)),"",'Source'!F176)</x:f>
      </x:c>
      <x:c r="H182" s="2" t="str">
        <x:f>IF(A182="","",COUNTIFS($B$8:$B$213,B182))</x:f>
      </x:c>
      <x:c r="I182" s="11" t="str">
        <x:f>IF(A182="","",IF(B182="","Missing ID; ","")&amp;IF(AND(B182&lt;&gt;"",H182&gt;1),"Duplicate ID; ","")&amp;IF(ISNUMBER(C182),IF(OR(C182&lt;'Report'!$C$5,C182&gt;'Report'!$F$5),"Outside reporting period; ",""),"Invalid date; ")&amp;IF(COUNTIFS('Guide'!$B$24:$B$26,D182)=0,"Unknown team; ","")&amp;IF(ISNUMBER(E182),IF(E182&lt;0,"Negative effort; ",""),"Missing/non-numeric effort; ")&amp;IF(ISNUMBER(F182),IF(F182&lt;0,"Negative resolution; ",""),"Missing/non-numeric resolution; ")&amp;IF(ISNUMBER(G182),IF(G182&lt;=0,"Invalid SLA target; ",""),"Missing/non-numeric SLA target; "))</x:f>
      </x:c>
      <x:c r="J182" s="2" t="str">
        <x:f>IF(A182="","",IF(I182="","Included","Review"))</x:f>
      </x:c>
      <x:c r="K182" s="2" t="str">
        <x:f>IF(J182="Included",IF(F182&lt;=G182,1,0),"")</x:f>
      </x:c>
      <x:c r="L182" s="13" t="str">
        <x:f>IF(J182="Included",C182-WEEKDAY(C182,2)+1,"")</x:f>
      </x:c>
      <x:c r="M182" s="15" t="n">
        <x:f>IF(J182="Included",E182,0)</x:f>
        <x:v>0</x:v>
      </x:c>
      <x:c r="N182" s="15" t="n">
        <x:f>IF(J182="Included",F182,0)</x:f>
        <x:v>0</x:v>
      </x:c>
    </x:row>
    <x:row r="183" ht="32" customHeight="1">
      <x:c r="A183" s="2" t="str">
        <x:f>IF(COUNTA('Source'!A177:F177)=0,"",177)</x:f>
      </x:c>
      <x:c r="B183" s="2" t="str">
        <x:f>IF(A183="","",UPPER(TRIM('Source'!A177&amp;"")))</x:f>
      </x:c>
      <x:c r="C183" s="13" t="str">
        <x:f>IF(OR(A183="",ISBLANK('Source'!B177)),"",'Source'!B177)</x:f>
      </x:c>
      <x:c r="D183" s="2" t="str">
        <x:f>IF(A183="","",UPPER(TRIM('Source'!C177&amp;"")))</x:f>
      </x:c>
      <x:c r="E183" s="15" t="str">
        <x:f>IF(OR(A183="",ISBLANK('Source'!D177)),"",'Source'!D177)</x:f>
      </x:c>
      <x:c r="F183" s="15" t="str">
        <x:f>IF(OR(A183="",ISBLANK('Source'!E177)),"",'Source'!E177)</x:f>
      </x:c>
      <x:c r="G183" s="15" t="str">
        <x:f>IF(OR(A183="",ISBLANK('Source'!F177)),"",'Source'!F177)</x:f>
      </x:c>
      <x:c r="H183" s="2" t="str">
        <x:f>IF(A183="","",COUNTIFS($B$8:$B$213,B183))</x:f>
      </x:c>
      <x:c r="I183" s="11" t="str">
        <x:f>IF(A183="","",IF(B183="","Missing ID; ","")&amp;IF(AND(B183&lt;&gt;"",H183&gt;1),"Duplicate ID; ","")&amp;IF(ISNUMBER(C183),IF(OR(C183&lt;'Report'!$C$5,C183&gt;'Report'!$F$5),"Outside reporting period; ",""),"Invalid date; ")&amp;IF(COUNTIFS('Guide'!$B$24:$B$26,D183)=0,"Unknown team; ","")&amp;IF(ISNUMBER(E183),IF(E183&lt;0,"Negative effort; ",""),"Missing/non-numeric effort; ")&amp;IF(ISNUMBER(F183),IF(F183&lt;0,"Negative resolution; ",""),"Missing/non-numeric resolution; ")&amp;IF(ISNUMBER(G183),IF(G183&lt;=0,"Invalid SLA target; ",""),"Missing/non-numeric SLA target; "))</x:f>
      </x:c>
      <x:c r="J183" s="2" t="str">
        <x:f>IF(A183="","",IF(I183="","Included","Review"))</x:f>
      </x:c>
      <x:c r="K183" s="2" t="str">
        <x:f>IF(J183="Included",IF(F183&lt;=G183,1,0),"")</x:f>
      </x:c>
      <x:c r="L183" s="13" t="str">
        <x:f>IF(J183="Included",C183-WEEKDAY(C183,2)+1,"")</x:f>
      </x:c>
      <x:c r="M183" s="15" t="n">
        <x:f>IF(J183="Included",E183,0)</x:f>
        <x:v>0</x:v>
      </x:c>
      <x:c r="N183" s="15" t="n">
        <x:f>IF(J183="Included",F183,0)</x:f>
        <x:v>0</x:v>
      </x:c>
    </x:row>
    <x:row r="184" ht="32" customHeight="1">
      <x:c r="A184" s="2" t="str">
        <x:f>IF(COUNTA('Source'!A178:F178)=0,"",178)</x:f>
      </x:c>
      <x:c r="B184" s="2" t="str">
        <x:f>IF(A184="","",UPPER(TRIM('Source'!A178&amp;"")))</x:f>
      </x:c>
      <x:c r="C184" s="13" t="str">
        <x:f>IF(OR(A184="",ISBLANK('Source'!B178)),"",'Source'!B178)</x:f>
      </x:c>
      <x:c r="D184" s="2" t="str">
        <x:f>IF(A184="","",UPPER(TRIM('Source'!C178&amp;"")))</x:f>
      </x:c>
      <x:c r="E184" s="15" t="str">
        <x:f>IF(OR(A184="",ISBLANK('Source'!D178)),"",'Source'!D178)</x:f>
      </x:c>
      <x:c r="F184" s="15" t="str">
        <x:f>IF(OR(A184="",ISBLANK('Source'!E178)),"",'Source'!E178)</x:f>
      </x:c>
      <x:c r="G184" s="15" t="str">
        <x:f>IF(OR(A184="",ISBLANK('Source'!F178)),"",'Source'!F178)</x:f>
      </x:c>
      <x:c r="H184" s="2" t="str">
        <x:f>IF(A184="","",COUNTIFS($B$8:$B$213,B184))</x:f>
      </x:c>
      <x:c r="I184" s="11" t="str">
        <x:f>IF(A184="","",IF(B184="","Missing ID; ","")&amp;IF(AND(B184&lt;&gt;"",H184&gt;1),"Duplicate ID; ","")&amp;IF(ISNUMBER(C184),IF(OR(C184&lt;'Report'!$C$5,C184&gt;'Report'!$F$5),"Outside reporting period; ",""),"Invalid date; ")&amp;IF(COUNTIFS('Guide'!$B$24:$B$26,D184)=0,"Unknown team; ","")&amp;IF(ISNUMBER(E184),IF(E184&lt;0,"Negative effort; ",""),"Missing/non-numeric effort; ")&amp;IF(ISNUMBER(F184),IF(F184&lt;0,"Negative resolution; ",""),"Missing/non-numeric resolution; ")&amp;IF(ISNUMBER(G184),IF(G184&lt;=0,"Invalid SLA target; ",""),"Missing/non-numeric SLA target; "))</x:f>
      </x:c>
      <x:c r="J184" s="2" t="str">
        <x:f>IF(A184="","",IF(I184="","Included","Review"))</x:f>
      </x:c>
      <x:c r="K184" s="2" t="str">
        <x:f>IF(J184="Included",IF(F184&lt;=G184,1,0),"")</x:f>
      </x:c>
      <x:c r="L184" s="13" t="str">
        <x:f>IF(J184="Included",C184-WEEKDAY(C184,2)+1,"")</x:f>
      </x:c>
      <x:c r="M184" s="15" t="n">
        <x:f>IF(J184="Included",E184,0)</x:f>
        <x:v>0</x:v>
      </x:c>
      <x:c r="N184" s="15" t="n">
        <x:f>IF(J184="Included",F184,0)</x:f>
        <x:v>0</x:v>
      </x:c>
    </x:row>
    <x:row r="185" ht="32" customHeight="1">
      <x:c r="A185" s="2" t="str">
        <x:f>IF(COUNTA('Source'!A179:F179)=0,"",179)</x:f>
      </x:c>
      <x:c r="B185" s="2" t="str">
        <x:f>IF(A185="","",UPPER(TRIM('Source'!A179&amp;"")))</x:f>
      </x:c>
      <x:c r="C185" s="13" t="str">
        <x:f>IF(OR(A185="",ISBLANK('Source'!B179)),"",'Source'!B179)</x:f>
      </x:c>
      <x:c r="D185" s="2" t="str">
        <x:f>IF(A185="","",UPPER(TRIM('Source'!C179&amp;"")))</x:f>
      </x:c>
      <x:c r="E185" s="15" t="str">
        <x:f>IF(OR(A185="",ISBLANK('Source'!D179)),"",'Source'!D179)</x:f>
      </x:c>
      <x:c r="F185" s="15" t="str">
        <x:f>IF(OR(A185="",ISBLANK('Source'!E179)),"",'Source'!E179)</x:f>
      </x:c>
      <x:c r="G185" s="15" t="str">
        <x:f>IF(OR(A185="",ISBLANK('Source'!F179)),"",'Source'!F179)</x:f>
      </x:c>
      <x:c r="H185" s="2" t="str">
        <x:f>IF(A185="","",COUNTIFS($B$8:$B$213,B185))</x:f>
      </x:c>
      <x:c r="I185" s="11" t="str">
        <x:f>IF(A185="","",IF(B185="","Missing ID; ","")&amp;IF(AND(B185&lt;&gt;"",H185&gt;1),"Duplicate ID; ","")&amp;IF(ISNUMBER(C185),IF(OR(C185&lt;'Report'!$C$5,C185&gt;'Report'!$F$5),"Outside reporting period; ",""),"Invalid date; ")&amp;IF(COUNTIFS('Guide'!$B$24:$B$26,D185)=0,"Unknown team; ","")&amp;IF(ISNUMBER(E185),IF(E185&lt;0,"Negative effort; ",""),"Missing/non-numeric effort; ")&amp;IF(ISNUMBER(F185),IF(F185&lt;0,"Negative resolution; ",""),"Missing/non-numeric resolution; ")&amp;IF(ISNUMBER(G185),IF(G185&lt;=0,"Invalid SLA target; ",""),"Missing/non-numeric SLA target; "))</x:f>
      </x:c>
      <x:c r="J185" s="2" t="str">
        <x:f>IF(A185="","",IF(I185="","Included","Review"))</x:f>
      </x:c>
      <x:c r="K185" s="2" t="str">
        <x:f>IF(J185="Included",IF(F185&lt;=G185,1,0),"")</x:f>
      </x:c>
      <x:c r="L185" s="13" t="str">
        <x:f>IF(J185="Included",C185-WEEKDAY(C185,2)+1,"")</x:f>
      </x:c>
      <x:c r="M185" s="15" t="n">
        <x:f>IF(J185="Included",E185,0)</x:f>
        <x:v>0</x:v>
      </x:c>
      <x:c r="N185" s="15" t="n">
        <x:f>IF(J185="Included",F185,0)</x:f>
        <x:v>0</x:v>
      </x:c>
    </x:row>
    <x:row r="186" ht="32" customHeight="1">
      <x:c r="A186" s="2" t="str">
        <x:f>IF(COUNTA('Source'!A180:F180)=0,"",180)</x:f>
      </x:c>
      <x:c r="B186" s="2" t="str">
        <x:f>IF(A186="","",UPPER(TRIM('Source'!A180&amp;"")))</x:f>
      </x:c>
      <x:c r="C186" s="13" t="str">
        <x:f>IF(OR(A186="",ISBLANK('Source'!B180)),"",'Source'!B180)</x:f>
      </x:c>
      <x:c r="D186" s="2" t="str">
        <x:f>IF(A186="","",UPPER(TRIM('Source'!C180&amp;"")))</x:f>
      </x:c>
      <x:c r="E186" s="15" t="str">
        <x:f>IF(OR(A186="",ISBLANK('Source'!D180)),"",'Source'!D180)</x:f>
      </x:c>
      <x:c r="F186" s="15" t="str">
        <x:f>IF(OR(A186="",ISBLANK('Source'!E180)),"",'Source'!E180)</x:f>
      </x:c>
      <x:c r="G186" s="15" t="str">
        <x:f>IF(OR(A186="",ISBLANK('Source'!F180)),"",'Source'!F180)</x:f>
      </x:c>
      <x:c r="H186" s="2" t="str">
        <x:f>IF(A186="","",COUNTIFS($B$8:$B$213,B186))</x:f>
      </x:c>
      <x:c r="I186" s="11" t="str">
        <x:f>IF(A186="","",IF(B186="","Missing ID; ","")&amp;IF(AND(B186&lt;&gt;"",H186&gt;1),"Duplicate ID; ","")&amp;IF(ISNUMBER(C186),IF(OR(C186&lt;'Report'!$C$5,C186&gt;'Report'!$F$5),"Outside reporting period; ",""),"Invalid date; ")&amp;IF(COUNTIFS('Guide'!$B$24:$B$26,D186)=0,"Unknown team; ","")&amp;IF(ISNUMBER(E186),IF(E186&lt;0,"Negative effort; ",""),"Missing/non-numeric effort; ")&amp;IF(ISNUMBER(F186),IF(F186&lt;0,"Negative resolution; ",""),"Missing/non-numeric resolution; ")&amp;IF(ISNUMBER(G186),IF(G186&lt;=0,"Invalid SLA target; ",""),"Missing/non-numeric SLA target; "))</x:f>
      </x:c>
      <x:c r="J186" s="2" t="str">
        <x:f>IF(A186="","",IF(I186="","Included","Review"))</x:f>
      </x:c>
      <x:c r="K186" s="2" t="str">
        <x:f>IF(J186="Included",IF(F186&lt;=G186,1,0),"")</x:f>
      </x:c>
      <x:c r="L186" s="13" t="str">
        <x:f>IF(J186="Included",C186-WEEKDAY(C186,2)+1,"")</x:f>
      </x:c>
      <x:c r="M186" s="15" t="n">
        <x:f>IF(J186="Included",E186,0)</x:f>
        <x:v>0</x:v>
      </x:c>
      <x:c r="N186" s="15" t="n">
        <x:f>IF(J186="Included",F186,0)</x:f>
        <x:v>0</x:v>
      </x:c>
    </x:row>
    <x:row r="187" ht="32" customHeight="1">
      <x:c r="A187" s="2" t="str">
        <x:f>IF(COUNTA('Source'!A181:F181)=0,"",181)</x:f>
      </x:c>
      <x:c r="B187" s="2" t="str">
        <x:f>IF(A187="","",UPPER(TRIM('Source'!A181&amp;"")))</x:f>
      </x:c>
      <x:c r="C187" s="13" t="str">
        <x:f>IF(OR(A187="",ISBLANK('Source'!B181)),"",'Source'!B181)</x:f>
      </x:c>
      <x:c r="D187" s="2" t="str">
        <x:f>IF(A187="","",UPPER(TRIM('Source'!C181&amp;"")))</x:f>
      </x:c>
      <x:c r="E187" s="15" t="str">
        <x:f>IF(OR(A187="",ISBLANK('Source'!D181)),"",'Source'!D181)</x:f>
      </x:c>
      <x:c r="F187" s="15" t="str">
        <x:f>IF(OR(A187="",ISBLANK('Source'!E181)),"",'Source'!E181)</x:f>
      </x:c>
      <x:c r="G187" s="15" t="str">
        <x:f>IF(OR(A187="",ISBLANK('Source'!F181)),"",'Source'!F181)</x:f>
      </x:c>
      <x:c r="H187" s="2" t="str">
        <x:f>IF(A187="","",COUNTIFS($B$8:$B$213,B187))</x:f>
      </x:c>
      <x:c r="I187" s="11" t="str">
        <x:f>IF(A187="","",IF(B187="","Missing ID; ","")&amp;IF(AND(B187&lt;&gt;"",H187&gt;1),"Duplicate ID; ","")&amp;IF(ISNUMBER(C187),IF(OR(C187&lt;'Report'!$C$5,C187&gt;'Report'!$F$5),"Outside reporting period; ",""),"Invalid date; ")&amp;IF(COUNTIFS('Guide'!$B$24:$B$26,D187)=0,"Unknown team; ","")&amp;IF(ISNUMBER(E187),IF(E187&lt;0,"Negative effort; ",""),"Missing/non-numeric effort; ")&amp;IF(ISNUMBER(F187),IF(F187&lt;0,"Negative resolution; ",""),"Missing/non-numeric resolution; ")&amp;IF(ISNUMBER(G187),IF(G187&lt;=0,"Invalid SLA target; ",""),"Missing/non-numeric SLA target; "))</x:f>
      </x:c>
      <x:c r="J187" s="2" t="str">
        <x:f>IF(A187="","",IF(I187="","Included","Review"))</x:f>
      </x:c>
      <x:c r="K187" s="2" t="str">
        <x:f>IF(J187="Included",IF(F187&lt;=G187,1,0),"")</x:f>
      </x:c>
      <x:c r="L187" s="13" t="str">
        <x:f>IF(J187="Included",C187-WEEKDAY(C187,2)+1,"")</x:f>
      </x:c>
      <x:c r="M187" s="15" t="n">
        <x:f>IF(J187="Included",E187,0)</x:f>
        <x:v>0</x:v>
      </x:c>
      <x:c r="N187" s="15" t="n">
        <x:f>IF(J187="Included",F187,0)</x:f>
        <x:v>0</x:v>
      </x:c>
    </x:row>
    <x:row r="188" ht="32" customHeight="1">
      <x:c r="A188" s="2" t="str">
        <x:f>IF(COUNTA('Source'!A182:F182)=0,"",182)</x:f>
      </x:c>
      <x:c r="B188" s="2" t="str">
        <x:f>IF(A188="","",UPPER(TRIM('Source'!A182&amp;"")))</x:f>
      </x:c>
      <x:c r="C188" s="13" t="str">
        <x:f>IF(OR(A188="",ISBLANK('Source'!B182)),"",'Source'!B182)</x:f>
      </x:c>
      <x:c r="D188" s="2" t="str">
        <x:f>IF(A188="","",UPPER(TRIM('Source'!C182&amp;"")))</x:f>
      </x:c>
      <x:c r="E188" s="15" t="str">
        <x:f>IF(OR(A188="",ISBLANK('Source'!D182)),"",'Source'!D182)</x:f>
      </x:c>
      <x:c r="F188" s="15" t="str">
        <x:f>IF(OR(A188="",ISBLANK('Source'!E182)),"",'Source'!E182)</x:f>
      </x:c>
      <x:c r="G188" s="15" t="str">
        <x:f>IF(OR(A188="",ISBLANK('Source'!F182)),"",'Source'!F182)</x:f>
      </x:c>
      <x:c r="H188" s="2" t="str">
        <x:f>IF(A188="","",COUNTIFS($B$8:$B$213,B188))</x:f>
      </x:c>
      <x:c r="I188" s="11" t="str">
        <x:f>IF(A188="","",IF(B188="","Missing ID; ","")&amp;IF(AND(B188&lt;&gt;"",H188&gt;1),"Duplicate ID; ","")&amp;IF(ISNUMBER(C188),IF(OR(C188&lt;'Report'!$C$5,C188&gt;'Report'!$F$5),"Outside reporting period; ",""),"Invalid date; ")&amp;IF(COUNTIFS('Guide'!$B$24:$B$26,D188)=0,"Unknown team; ","")&amp;IF(ISNUMBER(E188),IF(E188&lt;0,"Negative effort; ",""),"Missing/non-numeric effort; ")&amp;IF(ISNUMBER(F188),IF(F188&lt;0,"Negative resolution; ",""),"Missing/non-numeric resolution; ")&amp;IF(ISNUMBER(G188),IF(G188&lt;=0,"Invalid SLA target; ",""),"Missing/non-numeric SLA target; "))</x:f>
      </x:c>
      <x:c r="J188" s="2" t="str">
        <x:f>IF(A188="","",IF(I188="","Included","Review"))</x:f>
      </x:c>
      <x:c r="K188" s="2" t="str">
        <x:f>IF(J188="Included",IF(F188&lt;=G188,1,0),"")</x:f>
      </x:c>
      <x:c r="L188" s="13" t="str">
        <x:f>IF(J188="Included",C188-WEEKDAY(C188,2)+1,"")</x:f>
      </x:c>
      <x:c r="M188" s="15" t="n">
        <x:f>IF(J188="Included",E188,0)</x:f>
        <x:v>0</x:v>
      </x:c>
      <x:c r="N188" s="15" t="n">
        <x:f>IF(J188="Included",F188,0)</x:f>
        <x:v>0</x:v>
      </x:c>
    </x:row>
    <x:row r="189" ht="32" customHeight="1">
      <x:c r="A189" s="2" t="str">
        <x:f>IF(COUNTA('Source'!A183:F183)=0,"",183)</x:f>
      </x:c>
      <x:c r="B189" s="2" t="str">
        <x:f>IF(A189="","",UPPER(TRIM('Source'!A183&amp;"")))</x:f>
      </x:c>
      <x:c r="C189" s="13" t="str">
        <x:f>IF(OR(A189="",ISBLANK('Source'!B183)),"",'Source'!B183)</x:f>
      </x:c>
      <x:c r="D189" s="2" t="str">
        <x:f>IF(A189="","",UPPER(TRIM('Source'!C183&amp;"")))</x:f>
      </x:c>
      <x:c r="E189" s="15" t="str">
        <x:f>IF(OR(A189="",ISBLANK('Source'!D183)),"",'Source'!D183)</x:f>
      </x:c>
      <x:c r="F189" s="15" t="str">
        <x:f>IF(OR(A189="",ISBLANK('Source'!E183)),"",'Source'!E183)</x:f>
      </x:c>
      <x:c r="G189" s="15" t="str">
        <x:f>IF(OR(A189="",ISBLANK('Source'!F183)),"",'Source'!F183)</x:f>
      </x:c>
      <x:c r="H189" s="2" t="str">
        <x:f>IF(A189="","",COUNTIFS($B$8:$B$213,B189))</x:f>
      </x:c>
      <x:c r="I189" s="11" t="str">
        <x:f>IF(A189="","",IF(B189="","Missing ID; ","")&amp;IF(AND(B189&lt;&gt;"",H189&gt;1),"Duplicate ID; ","")&amp;IF(ISNUMBER(C189),IF(OR(C189&lt;'Report'!$C$5,C189&gt;'Report'!$F$5),"Outside reporting period; ",""),"Invalid date; ")&amp;IF(COUNTIFS('Guide'!$B$24:$B$26,D189)=0,"Unknown team; ","")&amp;IF(ISNUMBER(E189),IF(E189&lt;0,"Negative effort; ",""),"Missing/non-numeric effort; ")&amp;IF(ISNUMBER(F189),IF(F189&lt;0,"Negative resolution; ",""),"Missing/non-numeric resolution; ")&amp;IF(ISNUMBER(G189),IF(G189&lt;=0,"Invalid SLA target; ",""),"Missing/non-numeric SLA target; "))</x:f>
      </x:c>
      <x:c r="J189" s="2" t="str">
        <x:f>IF(A189="","",IF(I189="","Included","Review"))</x:f>
      </x:c>
      <x:c r="K189" s="2" t="str">
        <x:f>IF(J189="Included",IF(F189&lt;=G189,1,0),"")</x:f>
      </x:c>
      <x:c r="L189" s="13" t="str">
        <x:f>IF(J189="Included",C189-WEEKDAY(C189,2)+1,"")</x:f>
      </x:c>
      <x:c r="M189" s="15" t="n">
        <x:f>IF(J189="Included",E189,0)</x:f>
        <x:v>0</x:v>
      </x:c>
      <x:c r="N189" s="15" t="n">
        <x:f>IF(J189="Included",F189,0)</x:f>
        <x:v>0</x:v>
      </x:c>
    </x:row>
    <x:row r="190" ht="32" customHeight="1">
      <x:c r="A190" s="2" t="str">
        <x:f>IF(COUNTA('Source'!A184:F184)=0,"",184)</x:f>
      </x:c>
      <x:c r="B190" s="2" t="str">
        <x:f>IF(A190="","",UPPER(TRIM('Source'!A184&amp;"")))</x:f>
      </x:c>
      <x:c r="C190" s="13" t="str">
        <x:f>IF(OR(A190="",ISBLANK('Source'!B184)),"",'Source'!B184)</x:f>
      </x:c>
      <x:c r="D190" s="2" t="str">
        <x:f>IF(A190="","",UPPER(TRIM('Source'!C184&amp;"")))</x:f>
      </x:c>
      <x:c r="E190" s="15" t="str">
        <x:f>IF(OR(A190="",ISBLANK('Source'!D184)),"",'Source'!D184)</x:f>
      </x:c>
      <x:c r="F190" s="15" t="str">
        <x:f>IF(OR(A190="",ISBLANK('Source'!E184)),"",'Source'!E184)</x:f>
      </x:c>
      <x:c r="G190" s="15" t="str">
        <x:f>IF(OR(A190="",ISBLANK('Source'!F184)),"",'Source'!F184)</x:f>
      </x:c>
      <x:c r="H190" s="2" t="str">
        <x:f>IF(A190="","",COUNTIFS($B$8:$B$213,B190))</x:f>
      </x:c>
      <x:c r="I190" s="11" t="str">
        <x:f>IF(A190="","",IF(B190="","Missing ID; ","")&amp;IF(AND(B190&lt;&gt;"",H190&gt;1),"Duplicate ID; ","")&amp;IF(ISNUMBER(C190),IF(OR(C190&lt;'Report'!$C$5,C190&gt;'Report'!$F$5),"Outside reporting period; ",""),"Invalid date; ")&amp;IF(COUNTIFS('Guide'!$B$24:$B$26,D190)=0,"Unknown team; ","")&amp;IF(ISNUMBER(E190),IF(E190&lt;0,"Negative effort; ",""),"Missing/non-numeric effort; ")&amp;IF(ISNUMBER(F190),IF(F190&lt;0,"Negative resolution; ",""),"Missing/non-numeric resolution; ")&amp;IF(ISNUMBER(G190),IF(G190&lt;=0,"Invalid SLA target; ",""),"Missing/non-numeric SLA target; "))</x:f>
      </x:c>
      <x:c r="J190" s="2" t="str">
        <x:f>IF(A190="","",IF(I190="","Included","Review"))</x:f>
      </x:c>
      <x:c r="K190" s="2" t="str">
        <x:f>IF(J190="Included",IF(F190&lt;=G190,1,0),"")</x:f>
      </x:c>
      <x:c r="L190" s="13" t="str">
        <x:f>IF(J190="Included",C190-WEEKDAY(C190,2)+1,"")</x:f>
      </x:c>
      <x:c r="M190" s="15" t="n">
        <x:f>IF(J190="Included",E190,0)</x:f>
        <x:v>0</x:v>
      </x:c>
      <x:c r="N190" s="15" t="n">
        <x:f>IF(J190="Included",F190,0)</x:f>
        <x:v>0</x:v>
      </x:c>
    </x:row>
    <x:row r="191" ht="32" customHeight="1">
      <x:c r="A191" s="2" t="str">
        <x:f>IF(COUNTA('Source'!A185:F185)=0,"",185)</x:f>
      </x:c>
      <x:c r="B191" s="2" t="str">
        <x:f>IF(A191="","",UPPER(TRIM('Source'!A185&amp;"")))</x:f>
      </x:c>
      <x:c r="C191" s="13" t="str">
        <x:f>IF(OR(A191="",ISBLANK('Source'!B185)),"",'Source'!B185)</x:f>
      </x:c>
      <x:c r="D191" s="2" t="str">
        <x:f>IF(A191="","",UPPER(TRIM('Source'!C185&amp;"")))</x:f>
      </x:c>
      <x:c r="E191" s="15" t="str">
        <x:f>IF(OR(A191="",ISBLANK('Source'!D185)),"",'Source'!D185)</x:f>
      </x:c>
      <x:c r="F191" s="15" t="str">
        <x:f>IF(OR(A191="",ISBLANK('Source'!E185)),"",'Source'!E185)</x:f>
      </x:c>
      <x:c r="G191" s="15" t="str">
        <x:f>IF(OR(A191="",ISBLANK('Source'!F185)),"",'Source'!F185)</x:f>
      </x:c>
      <x:c r="H191" s="2" t="str">
        <x:f>IF(A191="","",COUNTIFS($B$8:$B$213,B191))</x:f>
      </x:c>
      <x:c r="I191" s="11" t="str">
        <x:f>IF(A191="","",IF(B191="","Missing ID; ","")&amp;IF(AND(B191&lt;&gt;"",H191&gt;1),"Duplicate ID; ","")&amp;IF(ISNUMBER(C191),IF(OR(C191&lt;'Report'!$C$5,C191&gt;'Report'!$F$5),"Outside reporting period; ",""),"Invalid date; ")&amp;IF(COUNTIFS('Guide'!$B$24:$B$26,D191)=0,"Unknown team; ","")&amp;IF(ISNUMBER(E191),IF(E191&lt;0,"Negative effort; ",""),"Missing/non-numeric effort; ")&amp;IF(ISNUMBER(F191),IF(F191&lt;0,"Negative resolution; ",""),"Missing/non-numeric resolution; ")&amp;IF(ISNUMBER(G191),IF(G191&lt;=0,"Invalid SLA target; ",""),"Missing/non-numeric SLA target; "))</x:f>
      </x:c>
      <x:c r="J191" s="2" t="str">
        <x:f>IF(A191="","",IF(I191="","Included","Review"))</x:f>
      </x:c>
      <x:c r="K191" s="2" t="str">
        <x:f>IF(J191="Included",IF(F191&lt;=G191,1,0),"")</x:f>
      </x:c>
      <x:c r="L191" s="13" t="str">
        <x:f>IF(J191="Included",C191-WEEKDAY(C191,2)+1,"")</x:f>
      </x:c>
      <x:c r="M191" s="15" t="n">
        <x:f>IF(J191="Included",E191,0)</x:f>
        <x:v>0</x:v>
      </x:c>
      <x:c r="N191" s="15" t="n">
        <x:f>IF(J191="Included",F191,0)</x:f>
        <x:v>0</x:v>
      </x:c>
    </x:row>
    <x:row r="192" ht="32" customHeight="1">
      <x:c r="A192" s="2" t="str">
        <x:f>IF(COUNTA('Source'!A186:F186)=0,"",186)</x:f>
      </x:c>
      <x:c r="B192" s="2" t="str">
        <x:f>IF(A192="","",UPPER(TRIM('Source'!A186&amp;"")))</x:f>
      </x:c>
      <x:c r="C192" s="13" t="str">
        <x:f>IF(OR(A192="",ISBLANK('Source'!B186)),"",'Source'!B186)</x:f>
      </x:c>
      <x:c r="D192" s="2" t="str">
        <x:f>IF(A192="","",UPPER(TRIM('Source'!C186&amp;"")))</x:f>
      </x:c>
      <x:c r="E192" s="15" t="str">
        <x:f>IF(OR(A192="",ISBLANK('Source'!D186)),"",'Source'!D186)</x:f>
      </x:c>
      <x:c r="F192" s="15" t="str">
        <x:f>IF(OR(A192="",ISBLANK('Source'!E186)),"",'Source'!E186)</x:f>
      </x:c>
      <x:c r="G192" s="15" t="str">
        <x:f>IF(OR(A192="",ISBLANK('Source'!F186)),"",'Source'!F186)</x:f>
      </x:c>
      <x:c r="H192" s="2" t="str">
        <x:f>IF(A192="","",COUNTIFS($B$8:$B$213,B192))</x:f>
      </x:c>
      <x:c r="I192" s="11" t="str">
        <x:f>IF(A192="","",IF(B192="","Missing ID; ","")&amp;IF(AND(B192&lt;&gt;"",H192&gt;1),"Duplicate ID; ","")&amp;IF(ISNUMBER(C192),IF(OR(C192&lt;'Report'!$C$5,C192&gt;'Report'!$F$5),"Outside reporting period; ",""),"Invalid date; ")&amp;IF(COUNTIFS('Guide'!$B$24:$B$26,D192)=0,"Unknown team; ","")&amp;IF(ISNUMBER(E192),IF(E192&lt;0,"Negative effort; ",""),"Missing/non-numeric effort; ")&amp;IF(ISNUMBER(F192),IF(F192&lt;0,"Negative resolution; ",""),"Missing/non-numeric resolution; ")&amp;IF(ISNUMBER(G192),IF(G192&lt;=0,"Invalid SLA target; ",""),"Missing/non-numeric SLA target; "))</x:f>
      </x:c>
      <x:c r="J192" s="2" t="str">
        <x:f>IF(A192="","",IF(I192="","Included","Review"))</x:f>
      </x:c>
      <x:c r="K192" s="2" t="str">
        <x:f>IF(J192="Included",IF(F192&lt;=G192,1,0),"")</x:f>
      </x:c>
      <x:c r="L192" s="13" t="str">
        <x:f>IF(J192="Included",C192-WEEKDAY(C192,2)+1,"")</x:f>
      </x:c>
      <x:c r="M192" s="15" t="n">
        <x:f>IF(J192="Included",E192,0)</x:f>
        <x:v>0</x:v>
      </x:c>
      <x:c r="N192" s="15" t="n">
        <x:f>IF(J192="Included",F192,0)</x:f>
        <x:v>0</x:v>
      </x:c>
    </x:row>
    <x:row r="193" ht="32" customHeight="1">
      <x:c r="A193" s="2" t="str">
        <x:f>IF(COUNTA('Source'!A187:F187)=0,"",187)</x:f>
      </x:c>
      <x:c r="B193" s="2" t="str">
        <x:f>IF(A193="","",UPPER(TRIM('Source'!A187&amp;"")))</x:f>
      </x:c>
      <x:c r="C193" s="13" t="str">
        <x:f>IF(OR(A193="",ISBLANK('Source'!B187)),"",'Source'!B187)</x:f>
      </x:c>
      <x:c r="D193" s="2" t="str">
        <x:f>IF(A193="","",UPPER(TRIM('Source'!C187&amp;"")))</x:f>
      </x:c>
      <x:c r="E193" s="15" t="str">
        <x:f>IF(OR(A193="",ISBLANK('Source'!D187)),"",'Source'!D187)</x:f>
      </x:c>
      <x:c r="F193" s="15" t="str">
        <x:f>IF(OR(A193="",ISBLANK('Source'!E187)),"",'Source'!E187)</x:f>
      </x:c>
      <x:c r="G193" s="15" t="str">
        <x:f>IF(OR(A193="",ISBLANK('Source'!F187)),"",'Source'!F187)</x:f>
      </x:c>
      <x:c r="H193" s="2" t="str">
        <x:f>IF(A193="","",COUNTIFS($B$8:$B$213,B193))</x:f>
      </x:c>
      <x:c r="I193" s="11" t="str">
        <x:f>IF(A193="","",IF(B193="","Missing ID; ","")&amp;IF(AND(B193&lt;&gt;"",H193&gt;1),"Duplicate ID; ","")&amp;IF(ISNUMBER(C193),IF(OR(C193&lt;'Report'!$C$5,C193&gt;'Report'!$F$5),"Outside reporting period; ",""),"Invalid date; ")&amp;IF(COUNTIFS('Guide'!$B$24:$B$26,D193)=0,"Unknown team; ","")&amp;IF(ISNUMBER(E193),IF(E193&lt;0,"Negative effort; ",""),"Missing/non-numeric effort; ")&amp;IF(ISNUMBER(F193),IF(F193&lt;0,"Negative resolution; ",""),"Missing/non-numeric resolution; ")&amp;IF(ISNUMBER(G193),IF(G193&lt;=0,"Invalid SLA target; ",""),"Missing/non-numeric SLA target; "))</x:f>
      </x:c>
      <x:c r="J193" s="2" t="str">
        <x:f>IF(A193="","",IF(I193="","Included","Review"))</x:f>
      </x:c>
      <x:c r="K193" s="2" t="str">
        <x:f>IF(J193="Included",IF(F193&lt;=G193,1,0),"")</x:f>
      </x:c>
      <x:c r="L193" s="13" t="str">
        <x:f>IF(J193="Included",C193-WEEKDAY(C193,2)+1,"")</x:f>
      </x:c>
      <x:c r="M193" s="15" t="n">
        <x:f>IF(J193="Included",E193,0)</x:f>
        <x:v>0</x:v>
      </x:c>
      <x:c r="N193" s="15" t="n">
        <x:f>IF(J193="Included",F193,0)</x:f>
        <x:v>0</x:v>
      </x:c>
    </x:row>
    <x:row r="194" ht="32" customHeight="1">
      <x:c r="A194" s="2" t="str">
        <x:f>IF(COUNTA('Source'!A188:F188)=0,"",188)</x:f>
      </x:c>
      <x:c r="B194" s="2" t="str">
        <x:f>IF(A194="","",UPPER(TRIM('Source'!A188&amp;"")))</x:f>
      </x:c>
      <x:c r="C194" s="13" t="str">
        <x:f>IF(OR(A194="",ISBLANK('Source'!B188)),"",'Source'!B188)</x:f>
      </x:c>
      <x:c r="D194" s="2" t="str">
        <x:f>IF(A194="","",UPPER(TRIM('Source'!C188&amp;"")))</x:f>
      </x:c>
      <x:c r="E194" s="15" t="str">
        <x:f>IF(OR(A194="",ISBLANK('Source'!D188)),"",'Source'!D188)</x:f>
      </x:c>
      <x:c r="F194" s="15" t="str">
        <x:f>IF(OR(A194="",ISBLANK('Source'!E188)),"",'Source'!E188)</x:f>
      </x:c>
      <x:c r="G194" s="15" t="str">
        <x:f>IF(OR(A194="",ISBLANK('Source'!F188)),"",'Source'!F188)</x:f>
      </x:c>
      <x:c r="H194" s="2" t="str">
        <x:f>IF(A194="","",COUNTIFS($B$8:$B$213,B194))</x:f>
      </x:c>
      <x:c r="I194" s="11" t="str">
        <x:f>IF(A194="","",IF(B194="","Missing ID; ","")&amp;IF(AND(B194&lt;&gt;"",H194&gt;1),"Duplicate ID; ","")&amp;IF(ISNUMBER(C194),IF(OR(C194&lt;'Report'!$C$5,C194&gt;'Report'!$F$5),"Outside reporting period; ",""),"Invalid date; ")&amp;IF(COUNTIFS('Guide'!$B$24:$B$26,D194)=0,"Unknown team; ","")&amp;IF(ISNUMBER(E194),IF(E194&lt;0,"Negative effort; ",""),"Missing/non-numeric effort; ")&amp;IF(ISNUMBER(F194),IF(F194&lt;0,"Negative resolution; ",""),"Missing/non-numeric resolution; ")&amp;IF(ISNUMBER(G194),IF(G194&lt;=0,"Invalid SLA target; ",""),"Missing/non-numeric SLA target; "))</x:f>
      </x:c>
      <x:c r="J194" s="2" t="str">
        <x:f>IF(A194="","",IF(I194="","Included","Review"))</x:f>
      </x:c>
      <x:c r="K194" s="2" t="str">
        <x:f>IF(J194="Included",IF(F194&lt;=G194,1,0),"")</x:f>
      </x:c>
      <x:c r="L194" s="13" t="str">
        <x:f>IF(J194="Included",C194-WEEKDAY(C194,2)+1,"")</x:f>
      </x:c>
      <x:c r="M194" s="15" t="n">
        <x:f>IF(J194="Included",E194,0)</x:f>
        <x:v>0</x:v>
      </x:c>
      <x:c r="N194" s="15" t="n">
        <x:f>IF(J194="Included",F194,0)</x:f>
        <x:v>0</x:v>
      </x:c>
    </x:row>
    <x:row r="195" ht="32" customHeight="1">
      <x:c r="A195" s="2" t="str">
        <x:f>IF(COUNTA('Source'!A189:F189)=0,"",189)</x:f>
      </x:c>
      <x:c r="B195" s="2" t="str">
        <x:f>IF(A195="","",UPPER(TRIM('Source'!A189&amp;"")))</x:f>
      </x:c>
      <x:c r="C195" s="13" t="str">
        <x:f>IF(OR(A195="",ISBLANK('Source'!B189)),"",'Source'!B189)</x:f>
      </x:c>
      <x:c r="D195" s="2" t="str">
        <x:f>IF(A195="","",UPPER(TRIM('Source'!C189&amp;"")))</x:f>
      </x:c>
      <x:c r="E195" s="15" t="str">
        <x:f>IF(OR(A195="",ISBLANK('Source'!D189)),"",'Source'!D189)</x:f>
      </x:c>
      <x:c r="F195" s="15" t="str">
        <x:f>IF(OR(A195="",ISBLANK('Source'!E189)),"",'Source'!E189)</x:f>
      </x:c>
      <x:c r="G195" s="15" t="str">
        <x:f>IF(OR(A195="",ISBLANK('Source'!F189)),"",'Source'!F189)</x:f>
      </x:c>
      <x:c r="H195" s="2" t="str">
        <x:f>IF(A195="","",COUNTIFS($B$8:$B$213,B195))</x:f>
      </x:c>
      <x:c r="I195" s="11" t="str">
        <x:f>IF(A195="","",IF(B195="","Missing ID; ","")&amp;IF(AND(B195&lt;&gt;"",H195&gt;1),"Duplicate ID; ","")&amp;IF(ISNUMBER(C195),IF(OR(C195&lt;'Report'!$C$5,C195&gt;'Report'!$F$5),"Outside reporting period; ",""),"Invalid date; ")&amp;IF(COUNTIFS('Guide'!$B$24:$B$26,D195)=0,"Unknown team; ","")&amp;IF(ISNUMBER(E195),IF(E195&lt;0,"Negative effort; ",""),"Missing/non-numeric effort; ")&amp;IF(ISNUMBER(F195),IF(F195&lt;0,"Negative resolution; ",""),"Missing/non-numeric resolution; ")&amp;IF(ISNUMBER(G195),IF(G195&lt;=0,"Invalid SLA target; ",""),"Missing/non-numeric SLA target; "))</x:f>
      </x:c>
      <x:c r="J195" s="2" t="str">
        <x:f>IF(A195="","",IF(I195="","Included","Review"))</x:f>
      </x:c>
      <x:c r="K195" s="2" t="str">
        <x:f>IF(J195="Included",IF(F195&lt;=G195,1,0),"")</x:f>
      </x:c>
      <x:c r="L195" s="13" t="str">
        <x:f>IF(J195="Included",C195-WEEKDAY(C195,2)+1,"")</x:f>
      </x:c>
      <x:c r="M195" s="15" t="n">
        <x:f>IF(J195="Included",E195,0)</x:f>
        <x:v>0</x:v>
      </x:c>
      <x:c r="N195" s="15" t="n">
        <x:f>IF(J195="Included",F195,0)</x:f>
        <x:v>0</x:v>
      </x:c>
    </x:row>
    <x:row r="196" ht="32" customHeight="1">
      <x:c r="A196" s="2" t="str">
        <x:f>IF(COUNTA('Source'!A190:F190)=0,"",190)</x:f>
      </x:c>
      <x:c r="B196" s="2" t="str">
        <x:f>IF(A196="","",UPPER(TRIM('Source'!A190&amp;"")))</x:f>
      </x:c>
      <x:c r="C196" s="13" t="str">
        <x:f>IF(OR(A196="",ISBLANK('Source'!B190)),"",'Source'!B190)</x:f>
      </x:c>
      <x:c r="D196" s="2" t="str">
        <x:f>IF(A196="","",UPPER(TRIM('Source'!C190&amp;"")))</x:f>
      </x:c>
      <x:c r="E196" s="15" t="str">
        <x:f>IF(OR(A196="",ISBLANK('Source'!D190)),"",'Source'!D190)</x:f>
      </x:c>
      <x:c r="F196" s="15" t="str">
        <x:f>IF(OR(A196="",ISBLANK('Source'!E190)),"",'Source'!E190)</x:f>
      </x:c>
      <x:c r="G196" s="15" t="str">
        <x:f>IF(OR(A196="",ISBLANK('Source'!F190)),"",'Source'!F190)</x:f>
      </x:c>
      <x:c r="H196" s="2" t="str">
        <x:f>IF(A196="","",COUNTIFS($B$8:$B$213,B196))</x:f>
      </x:c>
      <x:c r="I196" s="11" t="str">
        <x:f>IF(A196="","",IF(B196="","Missing ID; ","")&amp;IF(AND(B196&lt;&gt;"",H196&gt;1),"Duplicate ID; ","")&amp;IF(ISNUMBER(C196),IF(OR(C196&lt;'Report'!$C$5,C196&gt;'Report'!$F$5),"Outside reporting period; ",""),"Invalid date; ")&amp;IF(COUNTIFS('Guide'!$B$24:$B$26,D196)=0,"Unknown team; ","")&amp;IF(ISNUMBER(E196),IF(E196&lt;0,"Negative effort; ",""),"Missing/non-numeric effort; ")&amp;IF(ISNUMBER(F196),IF(F196&lt;0,"Negative resolution; ",""),"Missing/non-numeric resolution; ")&amp;IF(ISNUMBER(G196),IF(G196&lt;=0,"Invalid SLA target; ",""),"Missing/non-numeric SLA target; "))</x:f>
      </x:c>
      <x:c r="J196" s="2" t="str">
        <x:f>IF(A196="","",IF(I196="","Included","Review"))</x:f>
      </x:c>
      <x:c r="K196" s="2" t="str">
        <x:f>IF(J196="Included",IF(F196&lt;=G196,1,0),"")</x:f>
      </x:c>
      <x:c r="L196" s="13" t="str">
        <x:f>IF(J196="Included",C196-WEEKDAY(C196,2)+1,"")</x:f>
      </x:c>
      <x:c r="M196" s="15" t="n">
        <x:f>IF(J196="Included",E196,0)</x:f>
        <x:v>0</x:v>
      </x:c>
      <x:c r="N196" s="15" t="n">
        <x:f>IF(J196="Included",F196,0)</x:f>
        <x:v>0</x:v>
      </x:c>
    </x:row>
    <x:row r="197" ht="32" customHeight="1">
      <x:c r="A197" s="2" t="str">
        <x:f>IF(COUNTA('Source'!A191:F191)=0,"",191)</x:f>
      </x:c>
      <x:c r="B197" s="2" t="str">
        <x:f>IF(A197="","",UPPER(TRIM('Source'!A191&amp;"")))</x:f>
      </x:c>
      <x:c r="C197" s="13" t="str">
        <x:f>IF(OR(A197="",ISBLANK('Source'!B191)),"",'Source'!B191)</x:f>
      </x:c>
      <x:c r="D197" s="2" t="str">
        <x:f>IF(A197="","",UPPER(TRIM('Source'!C191&amp;"")))</x:f>
      </x:c>
      <x:c r="E197" s="15" t="str">
        <x:f>IF(OR(A197="",ISBLANK('Source'!D191)),"",'Source'!D191)</x:f>
      </x:c>
      <x:c r="F197" s="15" t="str">
        <x:f>IF(OR(A197="",ISBLANK('Source'!E191)),"",'Source'!E191)</x:f>
      </x:c>
      <x:c r="G197" s="15" t="str">
        <x:f>IF(OR(A197="",ISBLANK('Source'!F191)),"",'Source'!F191)</x:f>
      </x:c>
      <x:c r="H197" s="2" t="str">
        <x:f>IF(A197="","",COUNTIFS($B$8:$B$213,B197))</x:f>
      </x:c>
      <x:c r="I197" s="11" t="str">
        <x:f>IF(A197="","",IF(B197="","Missing ID; ","")&amp;IF(AND(B197&lt;&gt;"",H197&gt;1),"Duplicate ID; ","")&amp;IF(ISNUMBER(C197),IF(OR(C197&lt;'Report'!$C$5,C197&gt;'Report'!$F$5),"Outside reporting period; ",""),"Invalid date; ")&amp;IF(COUNTIFS('Guide'!$B$24:$B$26,D197)=0,"Unknown team; ","")&amp;IF(ISNUMBER(E197),IF(E197&lt;0,"Negative effort; ",""),"Missing/non-numeric effort; ")&amp;IF(ISNUMBER(F197),IF(F197&lt;0,"Negative resolution; ",""),"Missing/non-numeric resolution; ")&amp;IF(ISNUMBER(G197),IF(G197&lt;=0,"Invalid SLA target; ",""),"Missing/non-numeric SLA target; "))</x:f>
      </x:c>
      <x:c r="J197" s="2" t="str">
        <x:f>IF(A197="","",IF(I197="","Included","Review"))</x:f>
      </x:c>
      <x:c r="K197" s="2" t="str">
        <x:f>IF(J197="Included",IF(F197&lt;=G197,1,0),"")</x:f>
      </x:c>
      <x:c r="L197" s="13" t="str">
        <x:f>IF(J197="Included",C197-WEEKDAY(C197,2)+1,"")</x:f>
      </x:c>
      <x:c r="M197" s="15" t="n">
        <x:f>IF(J197="Included",E197,0)</x:f>
        <x:v>0</x:v>
      </x:c>
      <x:c r="N197" s="15" t="n">
        <x:f>IF(J197="Included",F197,0)</x:f>
        <x:v>0</x:v>
      </x:c>
    </x:row>
    <x:row r="198" ht="32" customHeight="1">
      <x:c r="A198" s="2" t="str">
        <x:f>IF(COUNTA('Source'!A192:F192)=0,"",192)</x:f>
      </x:c>
      <x:c r="B198" s="2" t="str">
        <x:f>IF(A198="","",UPPER(TRIM('Source'!A192&amp;"")))</x:f>
      </x:c>
      <x:c r="C198" s="13" t="str">
        <x:f>IF(OR(A198="",ISBLANK('Source'!B192)),"",'Source'!B192)</x:f>
      </x:c>
      <x:c r="D198" s="2" t="str">
        <x:f>IF(A198="","",UPPER(TRIM('Source'!C192&amp;"")))</x:f>
      </x:c>
      <x:c r="E198" s="15" t="str">
        <x:f>IF(OR(A198="",ISBLANK('Source'!D192)),"",'Source'!D192)</x:f>
      </x:c>
      <x:c r="F198" s="15" t="str">
        <x:f>IF(OR(A198="",ISBLANK('Source'!E192)),"",'Source'!E192)</x:f>
      </x:c>
      <x:c r="G198" s="15" t="str">
        <x:f>IF(OR(A198="",ISBLANK('Source'!F192)),"",'Source'!F192)</x:f>
      </x:c>
      <x:c r="H198" s="2" t="str">
        <x:f>IF(A198="","",COUNTIFS($B$8:$B$213,B198))</x:f>
      </x:c>
      <x:c r="I198" s="11" t="str">
        <x:f>IF(A198="","",IF(B198="","Missing ID; ","")&amp;IF(AND(B198&lt;&gt;"",H198&gt;1),"Duplicate ID; ","")&amp;IF(ISNUMBER(C198),IF(OR(C198&lt;'Report'!$C$5,C198&gt;'Report'!$F$5),"Outside reporting period; ",""),"Invalid date; ")&amp;IF(COUNTIFS('Guide'!$B$24:$B$26,D198)=0,"Unknown team; ","")&amp;IF(ISNUMBER(E198),IF(E198&lt;0,"Negative effort; ",""),"Missing/non-numeric effort; ")&amp;IF(ISNUMBER(F198),IF(F198&lt;0,"Negative resolution; ",""),"Missing/non-numeric resolution; ")&amp;IF(ISNUMBER(G198),IF(G198&lt;=0,"Invalid SLA target; ",""),"Missing/non-numeric SLA target; "))</x:f>
      </x:c>
      <x:c r="J198" s="2" t="str">
        <x:f>IF(A198="","",IF(I198="","Included","Review"))</x:f>
      </x:c>
      <x:c r="K198" s="2" t="str">
        <x:f>IF(J198="Included",IF(F198&lt;=G198,1,0),"")</x:f>
      </x:c>
      <x:c r="L198" s="13" t="str">
        <x:f>IF(J198="Included",C198-WEEKDAY(C198,2)+1,"")</x:f>
      </x:c>
      <x:c r="M198" s="15" t="n">
        <x:f>IF(J198="Included",E198,0)</x:f>
        <x:v>0</x:v>
      </x:c>
      <x:c r="N198" s="15" t="n">
        <x:f>IF(J198="Included",F198,0)</x:f>
        <x:v>0</x:v>
      </x:c>
    </x:row>
    <x:row r="199" ht="32" customHeight="1">
      <x:c r="A199" s="2" t="str">
        <x:f>IF(COUNTA('Source'!A193:F193)=0,"",193)</x:f>
      </x:c>
      <x:c r="B199" s="2" t="str">
        <x:f>IF(A199="","",UPPER(TRIM('Source'!A193&amp;"")))</x:f>
      </x:c>
      <x:c r="C199" s="13" t="str">
        <x:f>IF(OR(A199="",ISBLANK('Source'!B193)),"",'Source'!B193)</x:f>
      </x:c>
      <x:c r="D199" s="2" t="str">
        <x:f>IF(A199="","",UPPER(TRIM('Source'!C193&amp;"")))</x:f>
      </x:c>
      <x:c r="E199" s="15" t="str">
        <x:f>IF(OR(A199="",ISBLANK('Source'!D193)),"",'Source'!D193)</x:f>
      </x:c>
      <x:c r="F199" s="15" t="str">
        <x:f>IF(OR(A199="",ISBLANK('Source'!E193)),"",'Source'!E193)</x:f>
      </x:c>
      <x:c r="G199" s="15" t="str">
        <x:f>IF(OR(A199="",ISBLANK('Source'!F193)),"",'Source'!F193)</x:f>
      </x:c>
      <x:c r="H199" s="2" t="str">
        <x:f>IF(A199="","",COUNTIFS($B$8:$B$213,B199))</x:f>
      </x:c>
      <x:c r="I199" s="11" t="str">
        <x:f>IF(A199="","",IF(B199="","Missing ID; ","")&amp;IF(AND(B199&lt;&gt;"",H199&gt;1),"Duplicate ID; ","")&amp;IF(ISNUMBER(C199),IF(OR(C199&lt;'Report'!$C$5,C199&gt;'Report'!$F$5),"Outside reporting period; ",""),"Invalid date; ")&amp;IF(COUNTIFS('Guide'!$B$24:$B$26,D199)=0,"Unknown team; ","")&amp;IF(ISNUMBER(E199),IF(E199&lt;0,"Negative effort; ",""),"Missing/non-numeric effort; ")&amp;IF(ISNUMBER(F199),IF(F199&lt;0,"Negative resolution; ",""),"Missing/non-numeric resolution; ")&amp;IF(ISNUMBER(G199),IF(G199&lt;=0,"Invalid SLA target; ",""),"Missing/non-numeric SLA target; "))</x:f>
      </x:c>
      <x:c r="J199" s="2" t="str">
        <x:f>IF(A199="","",IF(I199="","Included","Review"))</x:f>
      </x:c>
      <x:c r="K199" s="2" t="str">
        <x:f>IF(J199="Included",IF(F199&lt;=G199,1,0),"")</x:f>
      </x:c>
      <x:c r="L199" s="13" t="str">
        <x:f>IF(J199="Included",C199-WEEKDAY(C199,2)+1,"")</x:f>
      </x:c>
      <x:c r="M199" s="15" t="n">
        <x:f>IF(J199="Included",E199,0)</x:f>
        <x:v>0</x:v>
      </x:c>
      <x:c r="N199" s="15" t="n">
        <x:f>IF(J199="Included",F199,0)</x:f>
        <x:v>0</x:v>
      </x:c>
    </x:row>
    <x:row r="200" ht="32" customHeight="1">
      <x:c r="A200" s="2" t="str">
        <x:f>IF(COUNTA('Source'!A194:F194)=0,"",194)</x:f>
      </x:c>
      <x:c r="B200" s="2" t="str">
        <x:f>IF(A200="","",UPPER(TRIM('Source'!A194&amp;"")))</x:f>
      </x:c>
      <x:c r="C200" s="13" t="str">
        <x:f>IF(OR(A200="",ISBLANK('Source'!B194)),"",'Source'!B194)</x:f>
      </x:c>
      <x:c r="D200" s="2" t="str">
        <x:f>IF(A200="","",UPPER(TRIM('Source'!C194&amp;"")))</x:f>
      </x:c>
      <x:c r="E200" s="15" t="str">
        <x:f>IF(OR(A200="",ISBLANK('Source'!D194)),"",'Source'!D194)</x:f>
      </x:c>
      <x:c r="F200" s="15" t="str">
        <x:f>IF(OR(A200="",ISBLANK('Source'!E194)),"",'Source'!E194)</x:f>
      </x:c>
      <x:c r="G200" s="15" t="str">
        <x:f>IF(OR(A200="",ISBLANK('Source'!F194)),"",'Source'!F194)</x:f>
      </x:c>
      <x:c r="H200" s="2" t="str">
        <x:f>IF(A200="","",COUNTIFS($B$8:$B$213,B200))</x:f>
      </x:c>
      <x:c r="I200" s="11" t="str">
        <x:f>IF(A200="","",IF(B200="","Missing ID; ","")&amp;IF(AND(B200&lt;&gt;"",H200&gt;1),"Duplicate ID; ","")&amp;IF(ISNUMBER(C200),IF(OR(C200&lt;'Report'!$C$5,C200&gt;'Report'!$F$5),"Outside reporting period; ",""),"Invalid date; ")&amp;IF(COUNTIFS('Guide'!$B$24:$B$26,D200)=0,"Unknown team; ","")&amp;IF(ISNUMBER(E200),IF(E200&lt;0,"Negative effort; ",""),"Missing/non-numeric effort; ")&amp;IF(ISNUMBER(F200),IF(F200&lt;0,"Negative resolution; ",""),"Missing/non-numeric resolution; ")&amp;IF(ISNUMBER(G200),IF(G200&lt;=0,"Invalid SLA target; ",""),"Missing/non-numeric SLA target; "))</x:f>
      </x:c>
      <x:c r="J200" s="2" t="str">
        <x:f>IF(A200="","",IF(I200="","Included","Review"))</x:f>
      </x:c>
      <x:c r="K200" s="2" t="str">
        <x:f>IF(J200="Included",IF(F200&lt;=G200,1,0),"")</x:f>
      </x:c>
      <x:c r="L200" s="13" t="str">
        <x:f>IF(J200="Included",C200-WEEKDAY(C200,2)+1,"")</x:f>
      </x:c>
      <x:c r="M200" s="15" t="n">
        <x:f>IF(J200="Included",E200,0)</x:f>
        <x:v>0</x:v>
      </x:c>
      <x:c r="N200" s="15" t="n">
        <x:f>IF(J200="Included",F200,0)</x:f>
        <x:v>0</x:v>
      </x:c>
    </x:row>
    <x:row r="201" ht="32" customHeight="1">
      <x:c r="A201" s="2" t="str">
        <x:f>IF(COUNTA('Source'!A195:F195)=0,"",195)</x:f>
      </x:c>
      <x:c r="B201" s="2" t="str">
        <x:f>IF(A201="","",UPPER(TRIM('Source'!A195&amp;"")))</x:f>
      </x:c>
      <x:c r="C201" s="13" t="str">
        <x:f>IF(OR(A201="",ISBLANK('Source'!B195)),"",'Source'!B195)</x:f>
      </x:c>
      <x:c r="D201" s="2" t="str">
        <x:f>IF(A201="","",UPPER(TRIM('Source'!C195&amp;"")))</x:f>
      </x:c>
      <x:c r="E201" s="15" t="str">
        <x:f>IF(OR(A201="",ISBLANK('Source'!D195)),"",'Source'!D195)</x:f>
      </x:c>
      <x:c r="F201" s="15" t="str">
        <x:f>IF(OR(A201="",ISBLANK('Source'!E195)),"",'Source'!E195)</x:f>
      </x:c>
      <x:c r="G201" s="15" t="str">
        <x:f>IF(OR(A201="",ISBLANK('Source'!F195)),"",'Source'!F195)</x:f>
      </x:c>
      <x:c r="H201" s="2" t="str">
        <x:f>IF(A201="","",COUNTIFS($B$8:$B$213,B201))</x:f>
      </x:c>
      <x:c r="I201" s="11" t="str">
        <x:f>IF(A201="","",IF(B201="","Missing ID; ","")&amp;IF(AND(B201&lt;&gt;"",H201&gt;1),"Duplicate ID; ","")&amp;IF(ISNUMBER(C201),IF(OR(C201&lt;'Report'!$C$5,C201&gt;'Report'!$F$5),"Outside reporting period; ",""),"Invalid date; ")&amp;IF(COUNTIFS('Guide'!$B$24:$B$26,D201)=0,"Unknown team; ","")&amp;IF(ISNUMBER(E201),IF(E201&lt;0,"Negative effort; ",""),"Missing/non-numeric effort; ")&amp;IF(ISNUMBER(F201),IF(F201&lt;0,"Negative resolution; ",""),"Missing/non-numeric resolution; ")&amp;IF(ISNUMBER(G201),IF(G201&lt;=0,"Invalid SLA target; ",""),"Missing/non-numeric SLA target; "))</x:f>
      </x:c>
      <x:c r="J201" s="2" t="str">
        <x:f>IF(A201="","",IF(I201="","Included","Review"))</x:f>
      </x:c>
      <x:c r="K201" s="2" t="str">
        <x:f>IF(J201="Included",IF(F201&lt;=G201,1,0),"")</x:f>
      </x:c>
      <x:c r="L201" s="13" t="str">
        <x:f>IF(J201="Included",C201-WEEKDAY(C201,2)+1,"")</x:f>
      </x:c>
      <x:c r="M201" s="15" t="n">
        <x:f>IF(J201="Included",E201,0)</x:f>
        <x:v>0</x:v>
      </x:c>
      <x:c r="N201" s="15" t="n">
        <x:f>IF(J201="Included",F201,0)</x:f>
        <x:v>0</x:v>
      </x:c>
    </x:row>
    <x:row r="202" ht="32" customHeight="1">
      <x:c r="A202" s="2" t="str">
        <x:f>IF(COUNTA('Source'!A196:F196)=0,"",196)</x:f>
      </x:c>
      <x:c r="B202" s="2" t="str">
        <x:f>IF(A202="","",UPPER(TRIM('Source'!A196&amp;"")))</x:f>
      </x:c>
      <x:c r="C202" s="13" t="str">
        <x:f>IF(OR(A202="",ISBLANK('Source'!B196)),"",'Source'!B196)</x:f>
      </x:c>
      <x:c r="D202" s="2" t="str">
        <x:f>IF(A202="","",UPPER(TRIM('Source'!C196&amp;"")))</x:f>
      </x:c>
      <x:c r="E202" s="15" t="str">
        <x:f>IF(OR(A202="",ISBLANK('Source'!D196)),"",'Source'!D196)</x:f>
      </x:c>
      <x:c r="F202" s="15" t="str">
        <x:f>IF(OR(A202="",ISBLANK('Source'!E196)),"",'Source'!E196)</x:f>
      </x:c>
      <x:c r="G202" s="15" t="str">
        <x:f>IF(OR(A202="",ISBLANK('Source'!F196)),"",'Source'!F196)</x:f>
      </x:c>
      <x:c r="H202" s="2" t="str">
        <x:f>IF(A202="","",COUNTIFS($B$8:$B$213,B202))</x:f>
      </x:c>
      <x:c r="I202" s="11" t="str">
        <x:f>IF(A202="","",IF(B202="","Missing ID; ","")&amp;IF(AND(B202&lt;&gt;"",H202&gt;1),"Duplicate ID; ","")&amp;IF(ISNUMBER(C202),IF(OR(C202&lt;'Report'!$C$5,C202&gt;'Report'!$F$5),"Outside reporting period; ",""),"Invalid date; ")&amp;IF(COUNTIFS('Guide'!$B$24:$B$26,D202)=0,"Unknown team; ","")&amp;IF(ISNUMBER(E202),IF(E202&lt;0,"Negative effort; ",""),"Missing/non-numeric effort; ")&amp;IF(ISNUMBER(F202),IF(F202&lt;0,"Negative resolution; ",""),"Missing/non-numeric resolution; ")&amp;IF(ISNUMBER(G202),IF(G202&lt;=0,"Invalid SLA target; ",""),"Missing/non-numeric SLA target; "))</x:f>
      </x:c>
      <x:c r="J202" s="2" t="str">
        <x:f>IF(A202="","",IF(I202="","Included","Review"))</x:f>
      </x:c>
      <x:c r="K202" s="2" t="str">
        <x:f>IF(J202="Included",IF(F202&lt;=G202,1,0),"")</x:f>
      </x:c>
      <x:c r="L202" s="13" t="str">
        <x:f>IF(J202="Included",C202-WEEKDAY(C202,2)+1,"")</x:f>
      </x:c>
      <x:c r="M202" s="15" t="n">
        <x:f>IF(J202="Included",E202,0)</x:f>
        <x:v>0</x:v>
      </x:c>
      <x:c r="N202" s="15" t="n">
        <x:f>IF(J202="Included",F202,0)</x:f>
        <x:v>0</x:v>
      </x:c>
    </x:row>
    <x:row r="203" ht="32" customHeight="1">
      <x:c r="A203" s="2" t="str">
        <x:f>IF(COUNTA('Source'!A197:F197)=0,"",197)</x:f>
      </x:c>
      <x:c r="B203" s="2" t="str">
        <x:f>IF(A203="","",UPPER(TRIM('Source'!A197&amp;"")))</x:f>
      </x:c>
      <x:c r="C203" s="13" t="str">
        <x:f>IF(OR(A203="",ISBLANK('Source'!B197)),"",'Source'!B197)</x:f>
      </x:c>
      <x:c r="D203" s="2" t="str">
        <x:f>IF(A203="","",UPPER(TRIM('Source'!C197&amp;"")))</x:f>
      </x:c>
      <x:c r="E203" s="15" t="str">
        <x:f>IF(OR(A203="",ISBLANK('Source'!D197)),"",'Source'!D197)</x:f>
      </x:c>
      <x:c r="F203" s="15" t="str">
        <x:f>IF(OR(A203="",ISBLANK('Source'!E197)),"",'Source'!E197)</x:f>
      </x:c>
      <x:c r="G203" s="15" t="str">
        <x:f>IF(OR(A203="",ISBLANK('Source'!F197)),"",'Source'!F197)</x:f>
      </x:c>
      <x:c r="H203" s="2" t="str">
        <x:f>IF(A203="","",COUNTIFS($B$8:$B$213,B203))</x:f>
      </x:c>
      <x:c r="I203" s="11" t="str">
        <x:f>IF(A203="","",IF(B203="","Missing ID; ","")&amp;IF(AND(B203&lt;&gt;"",H203&gt;1),"Duplicate ID; ","")&amp;IF(ISNUMBER(C203),IF(OR(C203&lt;'Report'!$C$5,C203&gt;'Report'!$F$5),"Outside reporting period; ",""),"Invalid date; ")&amp;IF(COUNTIFS('Guide'!$B$24:$B$26,D203)=0,"Unknown team; ","")&amp;IF(ISNUMBER(E203),IF(E203&lt;0,"Negative effort; ",""),"Missing/non-numeric effort; ")&amp;IF(ISNUMBER(F203),IF(F203&lt;0,"Negative resolution; ",""),"Missing/non-numeric resolution; ")&amp;IF(ISNUMBER(G203),IF(G203&lt;=0,"Invalid SLA target; ",""),"Missing/non-numeric SLA target; "))</x:f>
      </x:c>
      <x:c r="J203" s="2" t="str">
        <x:f>IF(A203="","",IF(I203="","Included","Review"))</x:f>
      </x:c>
      <x:c r="K203" s="2" t="str">
        <x:f>IF(J203="Included",IF(F203&lt;=G203,1,0),"")</x:f>
      </x:c>
      <x:c r="L203" s="13" t="str">
        <x:f>IF(J203="Included",C203-WEEKDAY(C203,2)+1,"")</x:f>
      </x:c>
      <x:c r="M203" s="15" t="n">
        <x:f>IF(J203="Included",E203,0)</x:f>
        <x:v>0</x:v>
      </x:c>
      <x:c r="N203" s="15" t="n">
        <x:f>IF(J203="Included",F203,0)</x:f>
        <x:v>0</x:v>
      </x:c>
    </x:row>
    <x:row r="204" ht="32" customHeight="1">
      <x:c r="A204" s="2" t="str">
        <x:f>IF(COUNTA('Source'!A198:F198)=0,"",198)</x:f>
      </x:c>
      <x:c r="B204" s="2" t="str">
        <x:f>IF(A204="","",UPPER(TRIM('Source'!A198&amp;"")))</x:f>
      </x:c>
      <x:c r="C204" s="13" t="str">
        <x:f>IF(OR(A204="",ISBLANK('Source'!B198)),"",'Source'!B198)</x:f>
      </x:c>
      <x:c r="D204" s="2" t="str">
        <x:f>IF(A204="","",UPPER(TRIM('Source'!C198&amp;"")))</x:f>
      </x:c>
      <x:c r="E204" s="15" t="str">
        <x:f>IF(OR(A204="",ISBLANK('Source'!D198)),"",'Source'!D198)</x:f>
      </x:c>
      <x:c r="F204" s="15" t="str">
        <x:f>IF(OR(A204="",ISBLANK('Source'!E198)),"",'Source'!E198)</x:f>
      </x:c>
      <x:c r="G204" s="15" t="str">
        <x:f>IF(OR(A204="",ISBLANK('Source'!F198)),"",'Source'!F198)</x:f>
      </x:c>
      <x:c r="H204" s="2" t="str">
        <x:f>IF(A204="","",COUNTIFS($B$8:$B$213,B204))</x:f>
      </x:c>
      <x:c r="I204" s="11" t="str">
        <x:f>IF(A204="","",IF(B204="","Missing ID; ","")&amp;IF(AND(B204&lt;&gt;"",H204&gt;1),"Duplicate ID; ","")&amp;IF(ISNUMBER(C204),IF(OR(C204&lt;'Report'!$C$5,C204&gt;'Report'!$F$5),"Outside reporting period; ",""),"Invalid date; ")&amp;IF(COUNTIFS('Guide'!$B$24:$B$26,D204)=0,"Unknown team; ","")&amp;IF(ISNUMBER(E204),IF(E204&lt;0,"Negative effort; ",""),"Missing/non-numeric effort; ")&amp;IF(ISNUMBER(F204),IF(F204&lt;0,"Negative resolution; ",""),"Missing/non-numeric resolution; ")&amp;IF(ISNUMBER(G204),IF(G204&lt;=0,"Invalid SLA target; ",""),"Missing/non-numeric SLA target; "))</x:f>
      </x:c>
      <x:c r="J204" s="2" t="str">
        <x:f>IF(A204="","",IF(I204="","Included","Review"))</x:f>
      </x:c>
      <x:c r="K204" s="2" t="str">
        <x:f>IF(J204="Included",IF(F204&lt;=G204,1,0),"")</x:f>
      </x:c>
      <x:c r="L204" s="13" t="str">
        <x:f>IF(J204="Included",C204-WEEKDAY(C204,2)+1,"")</x:f>
      </x:c>
      <x:c r="M204" s="15" t="n">
        <x:f>IF(J204="Included",E204,0)</x:f>
        <x:v>0</x:v>
      </x:c>
      <x:c r="N204" s="15" t="n">
        <x:f>IF(J204="Included",F204,0)</x:f>
        <x:v>0</x:v>
      </x:c>
    </x:row>
    <x:row r="205" ht="32" customHeight="1">
      <x:c r="A205" s="2" t="str">
        <x:f>IF(COUNTA('Source'!A199:F199)=0,"",199)</x:f>
      </x:c>
      <x:c r="B205" s="2" t="str">
        <x:f>IF(A205="","",UPPER(TRIM('Source'!A199&amp;"")))</x:f>
      </x:c>
      <x:c r="C205" s="13" t="str">
        <x:f>IF(OR(A205="",ISBLANK('Source'!B199)),"",'Source'!B199)</x:f>
      </x:c>
      <x:c r="D205" s="2" t="str">
        <x:f>IF(A205="","",UPPER(TRIM('Source'!C199&amp;"")))</x:f>
      </x:c>
      <x:c r="E205" s="15" t="str">
        <x:f>IF(OR(A205="",ISBLANK('Source'!D199)),"",'Source'!D199)</x:f>
      </x:c>
      <x:c r="F205" s="15" t="str">
        <x:f>IF(OR(A205="",ISBLANK('Source'!E199)),"",'Source'!E199)</x:f>
      </x:c>
      <x:c r="G205" s="15" t="str">
        <x:f>IF(OR(A205="",ISBLANK('Source'!F199)),"",'Source'!F199)</x:f>
      </x:c>
      <x:c r="H205" s="2" t="str">
        <x:f>IF(A205="","",COUNTIFS($B$8:$B$213,B205))</x:f>
      </x:c>
      <x:c r="I205" s="11" t="str">
        <x:f>IF(A205="","",IF(B205="","Missing ID; ","")&amp;IF(AND(B205&lt;&gt;"",H205&gt;1),"Duplicate ID; ","")&amp;IF(ISNUMBER(C205),IF(OR(C205&lt;'Report'!$C$5,C205&gt;'Report'!$F$5),"Outside reporting period; ",""),"Invalid date; ")&amp;IF(COUNTIFS('Guide'!$B$24:$B$26,D205)=0,"Unknown team; ","")&amp;IF(ISNUMBER(E205),IF(E205&lt;0,"Negative effort; ",""),"Missing/non-numeric effort; ")&amp;IF(ISNUMBER(F205),IF(F205&lt;0,"Negative resolution; ",""),"Missing/non-numeric resolution; ")&amp;IF(ISNUMBER(G205),IF(G205&lt;=0,"Invalid SLA target; ",""),"Missing/non-numeric SLA target; "))</x:f>
      </x:c>
      <x:c r="J205" s="2" t="str">
        <x:f>IF(A205="","",IF(I205="","Included","Review"))</x:f>
      </x:c>
      <x:c r="K205" s="2" t="str">
        <x:f>IF(J205="Included",IF(F205&lt;=G205,1,0),"")</x:f>
      </x:c>
      <x:c r="L205" s="13" t="str">
        <x:f>IF(J205="Included",C205-WEEKDAY(C205,2)+1,"")</x:f>
      </x:c>
      <x:c r="M205" s="15" t="n">
        <x:f>IF(J205="Included",E205,0)</x:f>
        <x:v>0</x:v>
      </x:c>
      <x:c r="N205" s="15" t="n">
        <x:f>IF(J205="Included",F205,0)</x:f>
        <x:v>0</x:v>
      </x:c>
    </x:row>
    <x:row r="206" ht="32" customHeight="1">
      <x:c r="A206" s="2" t="str">
        <x:f>IF(COUNTA('Source'!A200:F200)=0,"",200)</x:f>
      </x:c>
      <x:c r="B206" s="2" t="str">
        <x:f>IF(A206="","",UPPER(TRIM('Source'!A200&amp;"")))</x:f>
      </x:c>
      <x:c r="C206" s="13" t="str">
        <x:f>IF(OR(A206="",ISBLANK('Source'!B200)),"",'Source'!B200)</x:f>
      </x:c>
      <x:c r="D206" s="2" t="str">
        <x:f>IF(A206="","",UPPER(TRIM('Source'!C200&amp;"")))</x:f>
      </x:c>
      <x:c r="E206" s="15" t="str">
        <x:f>IF(OR(A206="",ISBLANK('Source'!D200)),"",'Source'!D200)</x:f>
      </x:c>
      <x:c r="F206" s="15" t="str">
        <x:f>IF(OR(A206="",ISBLANK('Source'!E200)),"",'Source'!E200)</x:f>
      </x:c>
      <x:c r="G206" s="15" t="str">
        <x:f>IF(OR(A206="",ISBLANK('Source'!F200)),"",'Source'!F200)</x:f>
      </x:c>
      <x:c r="H206" s="2" t="str">
        <x:f>IF(A206="","",COUNTIFS($B$8:$B$213,B206))</x:f>
      </x:c>
      <x:c r="I206" s="11" t="str">
        <x:f>IF(A206="","",IF(B206="","Missing ID; ","")&amp;IF(AND(B206&lt;&gt;"",H206&gt;1),"Duplicate ID; ","")&amp;IF(ISNUMBER(C206),IF(OR(C206&lt;'Report'!$C$5,C206&gt;'Report'!$F$5),"Outside reporting period; ",""),"Invalid date; ")&amp;IF(COUNTIFS('Guide'!$B$24:$B$26,D206)=0,"Unknown team; ","")&amp;IF(ISNUMBER(E206),IF(E206&lt;0,"Negative effort; ",""),"Missing/non-numeric effort; ")&amp;IF(ISNUMBER(F206),IF(F206&lt;0,"Negative resolution; ",""),"Missing/non-numeric resolution; ")&amp;IF(ISNUMBER(G206),IF(G206&lt;=0,"Invalid SLA target; ",""),"Missing/non-numeric SLA target; "))</x:f>
      </x:c>
      <x:c r="J206" s="2" t="str">
        <x:f>IF(A206="","",IF(I206="","Included","Review"))</x:f>
      </x:c>
      <x:c r="K206" s="2" t="str">
        <x:f>IF(J206="Included",IF(F206&lt;=G206,1,0),"")</x:f>
      </x:c>
      <x:c r="L206" s="13" t="str">
        <x:f>IF(J206="Included",C206-WEEKDAY(C206,2)+1,"")</x:f>
      </x:c>
      <x:c r="M206" s="15" t="n">
        <x:f>IF(J206="Included",E206,0)</x:f>
        <x:v>0</x:v>
      </x:c>
      <x:c r="N206" s="15" t="n">
        <x:f>IF(J206="Included",F206,0)</x:f>
        <x:v>0</x:v>
      </x:c>
    </x:row>
    <x:row r="207" ht="32" customHeight="1">
      <x:c r="A207" s="2" t="str">
        <x:f>IF(COUNTA('Source'!A201:F201)=0,"",201)</x:f>
      </x:c>
      <x:c r="B207" s="2" t="str">
        <x:f>IF(A207="","",UPPER(TRIM('Source'!A201&amp;"")))</x:f>
      </x:c>
      <x:c r="C207" s="13" t="str">
        <x:f>IF(OR(A207="",ISBLANK('Source'!B201)),"",'Source'!B201)</x:f>
      </x:c>
      <x:c r="D207" s="2" t="str">
        <x:f>IF(A207="","",UPPER(TRIM('Source'!C201&amp;"")))</x:f>
      </x:c>
      <x:c r="E207" s="15" t="str">
        <x:f>IF(OR(A207="",ISBLANK('Source'!D201)),"",'Source'!D201)</x:f>
      </x:c>
      <x:c r="F207" s="15" t="str">
        <x:f>IF(OR(A207="",ISBLANK('Source'!E201)),"",'Source'!E201)</x:f>
      </x:c>
      <x:c r="G207" s="15" t="str">
        <x:f>IF(OR(A207="",ISBLANK('Source'!F201)),"",'Source'!F201)</x:f>
      </x:c>
      <x:c r="H207" s="2" t="str">
        <x:f>IF(A207="","",COUNTIFS($B$8:$B$213,B207))</x:f>
      </x:c>
      <x:c r="I207" s="11" t="str">
        <x:f>IF(A207="","",IF(B207="","Missing ID; ","")&amp;IF(AND(B207&lt;&gt;"",H207&gt;1),"Duplicate ID; ","")&amp;IF(ISNUMBER(C207),IF(OR(C207&lt;'Report'!$C$5,C207&gt;'Report'!$F$5),"Outside reporting period; ",""),"Invalid date; ")&amp;IF(COUNTIFS('Guide'!$B$24:$B$26,D207)=0,"Unknown team; ","")&amp;IF(ISNUMBER(E207),IF(E207&lt;0,"Negative effort; ",""),"Missing/non-numeric effort; ")&amp;IF(ISNUMBER(F207),IF(F207&lt;0,"Negative resolution; ",""),"Missing/non-numeric resolution; ")&amp;IF(ISNUMBER(G207),IF(G207&lt;=0,"Invalid SLA target; ",""),"Missing/non-numeric SLA target; "))</x:f>
      </x:c>
      <x:c r="J207" s="2" t="str">
        <x:f>IF(A207="","",IF(I207="","Included","Review"))</x:f>
      </x:c>
      <x:c r="K207" s="2" t="str">
        <x:f>IF(J207="Included",IF(F207&lt;=G207,1,0),"")</x:f>
      </x:c>
      <x:c r="L207" s="13" t="str">
        <x:f>IF(J207="Included",C207-WEEKDAY(C207,2)+1,"")</x:f>
      </x:c>
      <x:c r="M207" s="15" t="n">
        <x:f>IF(J207="Included",E207,0)</x:f>
        <x:v>0</x:v>
      </x:c>
      <x:c r="N207" s="15" t="n">
        <x:f>IF(J207="Included",F207,0)</x:f>
        <x:v>0</x:v>
      </x:c>
    </x:row>
    <x:row r="208" ht="32" customHeight="1">
      <x:c r="A208" t="str">
        <x:f>IF(COUNTA('Source'!A202:F202)=0,"",202)</x:f>
      </x:c>
      <x:c r="B208" t="str">
        <x:f>IF(A208="","",UPPER(TRIM('Source'!A202&amp;"")))</x:f>
      </x:c>
      <x:c r="C208" s="14" t="str">
        <x:f>IF(OR(A208="",ISBLANK('Source'!B202)),"",'Source'!B202)</x:f>
      </x:c>
      <x:c r="D208" t="str">
        <x:f>IF(A208="","",UPPER(TRIM('Source'!C202&amp;"")))</x:f>
      </x:c>
      <x:c r="E208" s="16" t="str">
        <x:f>IF(OR(A208="",ISBLANK('Source'!D202)),"",'Source'!D202)</x:f>
      </x:c>
      <x:c r="F208" s="16" t="str">
        <x:f>IF(OR(A208="",ISBLANK('Source'!E202)),"",'Source'!E202)</x:f>
      </x:c>
      <x:c r="G208" s="16" t="str">
        <x:f>IF(OR(A208="",ISBLANK('Source'!F202)),"",'Source'!F202)</x:f>
      </x:c>
      <x:c r="H208" t="str">
        <x:f>IF(A208="","",COUNTIFS($B$8:$B$213,B208))</x:f>
      </x:c>
      <x:c r="I208" s="12" t="str">
        <x:f>IF(A208="","",IF(B208="","Missing ID; ","")&amp;IF(AND(B208&lt;&gt;"",H208&gt;1),"Duplicate ID; ","")&amp;IF(ISNUMBER(C208),IF(OR(C208&lt;'Report'!$C$5,C208&gt;'Report'!$F$5),"Outside reporting period; ",""),"Invalid date; ")&amp;IF(COUNTIFS('Guide'!$B$24:$B$26,D208)=0,"Unknown team; ","")&amp;IF(ISNUMBER(E208),IF(E208&lt;0,"Negative effort; ",""),"Missing/non-numeric effort; ")&amp;IF(ISNUMBER(F208),IF(F208&lt;0,"Negative resolution; ",""),"Missing/non-numeric resolution; ")&amp;IF(ISNUMBER(G208),IF(G208&lt;=0,"Invalid SLA target; ",""),"Missing/non-numeric SLA target; "))</x:f>
      </x:c>
      <x:c r="J208" t="str">
        <x:f>IF(A208="","",IF(I208="","Included","Review"))</x:f>
      </x:c>
      <x:c r="K208" t="str">
        <x:f>IF(J208="Included",IF(F208&lt;=G208,1,0),"")</x:f>
      </x:c>
      <x:c r="L208" s="14" t="str">
        <x:f>IF(J208="Included",C208-WEEKDAY(C208,2)+1,"")</x:f>
      </x:c>
      <x:c r="M208" s="16" t="n">
        <x:f>IF(J208="Included",E208,0)</x:f>
        <x:v>0</x:v>
      </x:c>
      <x:c r="N208" s="16" t="n">
        <x:f>IF(J208="Included",F208,0)</x:f>
        <x:v>0</x:v>
      </x:c>
    </x:row>
    <x:row r="209" ht="32" customHeight="1">
      <x:c r="A209" t="str">
        <x:f>IF(COUNTA('Source'!A203:F203)=0,"",203)</x:f>
      </x:c>
      <x:c r="B209" t="str">
        <x:f>IF(A209="","",UPPER(TRIM('Source'!A203&amp;"")))</x:f>
      </x:c>
      <x:c r="C209" s="14" t="str">
        <x:f>IF(OR(A209="",ISBLANK('Source'!B203)),"",'Source'!B203)</x:f>
      </x:c>
      <x:c r="D209" t="str">
        <x:f>IF(A209="","",UPPER(TRIM('Source'!C203&amp;"")))</x:f>
      </x:c>
      <x:c r="E209" s="16" t="str">
        <x:f>IF(OR(A209="",ISBLANK('Source'!D203)),"",'Source'!D203)</x:f>
      </x:c>
      <x:c r="F209" s="16" t="str">
        <x:f>IF(OR(A209="",ISBLANK('Source'!E203)),"",'Source'!E203)</x:f>
      </x:c>
      <x:c r="G209" s="16" t="str">
        <x:f>IF(OR(A209="",ISBLANK('Source'!F203)),"",'Source'!F203)</x:f>
      </x:c>
      <x:c r="H209" t="str">
        <x:f>IF(A209="","",COUNTIFS($B$8:$B$213,B209))</x:f>
      </x:c>
      <x:c r="I209" s="12" t="str">
        <x:f>IF(A209="","",IF(B209="","Missing ID; ","")&amp;IF(AND(B209&lt;&gt;"",H209&gt;1),"Duplicate ID; ","")&amp;IF(ISNUMBER(C209),IF(OR(C209&lt;'Report'!$C$5,C209&gt;'Report'!$F$5),"Outside reporting period; ",""),"Invalid date; ")&amp;IF(COUNTIFS('Guide'!$B$24:$B$26,D209)=0,"Unknown team; ","")&amp;IF(ISNUMBER(E209),IF(E209&lt;0,"Negative effort; ",""),"Missing/non-numeric effort; ")&amp;IF(ISNUMBER(F209),IF(F209&lt;0,"Negative resolution; ",""),"Missing/non-numeric resolution; ")&amp;IF(ISNUMBER(G209),IF(G209&lt;=0,"Invalid SLA target; ",""),"Missing/non-numeric SLA target; "))</x:f>
      </x:c>
      <x:c r="J209" t="str">
        <x:f>IF(A209="","",IF(I209="","Included","Review"))</x:f>
      </x:c>
      <x:c r="K209" t="str">
        <x:f>IF(J209="Included",IF(F209&lt;=G209,1,0),"")</x:f>
      </x:c>
      <x:c r="L209" s="14" t="str">
        <x:f>IF(J209="Included",C209-WEEKDAY(C209,2)+1,"")</x:f>
      </x:c>
      <x:c r="M209" s="16" t="n">
        <x:f>IF(J209="Included",E209,0)</x:f>
        <x:v>0</x:v>
      </x:c>
      <x:c r="N209" s="16" t="n">
        <x:f>IF(J209="Included",F209,0)</x:f>
        <x:v>0</x:v>
      </x:c>
    </x:row>
    <x:row r="210" ht="32" customHeight="1">
      <x:c r="A210" t="str">
        <x:f>IF(COUNTA('Source'!A204:F204)=0,"",204)</x:f>
      </x:c>
      <x:c r="B210" t="str">
        <x:f>IF(A210="","",UPPER(TRIM('Source'!A204&amp;"")))</x:f>
      </x:c>
      <x:c r="C210" s="14" t="str">
        <x:f>IF(OR(A210="",ISBLANK('Source'!B204)),"",'Source'!B204)</x:f>
      </x:c>
      <x:c r="D210" t="str">
        <x:f>IF(A210="","",UPPER(TRIM('Source'!C204&amp;"")))</x:f>
      </x:c>
      <x:c r="E210" s="16" t="str">
        <x:f>IF(OR(A210="",ISBLANK('Source'!D204)),"",'Source'!D204)</x:f>
      </x:c>
      <x:c r="F210" s="16" t="str">
        <x:f>IF(OR(A210="",ISBLANK('Source'!E204)),"",'Source'!E204)</x:f>
      </x:c>
      <x:c r="G210" s="16" t="str">
        <x:f>IF(OR(A210="",ISBLANK('Source'!F204)),"",'Source'!F204)</x:f>
      </x:c>
      <x:c r="H210" t="str">
        <x:f>IF(A210="","",COUNTIFS($B$8:$B$213,B210))</x:f>
      </x:c>
      <x:c r="I210" s="12" t="str">
        <x:f>IF(A210="","",IF(B210="","Missing ID; ","")&amp;IF(AND(B210&lt;&gt;"",H210&gt;1),"Duplicate ID; ","")&amp;IF(ISNUMBER(C210),IF(OR(C210&lt;'Report'!$C$5,C210&gt;'Report'!$F$5),"Outside reporting period; ",""),"Invalid date; ")&amp;IF(COUNTIFS('Guide'!$B$24:$B$26,D210)=0,"Unknown team; ","")&amp;IF(ISNUMBER(E210),IF(E210&lt;0,"Negative effort; ",""),"Missing/non-numeric effort; ")&amp;IF(ISNUMBER(F210),IF(F210&lt;0,"Negative resolution; ",""),"Missing/non-numeric resolution; ")&amp;IF(ISNUMBER(G210),IF(G210&lt;=0,"Invalid SLA target; ",""),"Missing/non-numeric SLA target; "))</x:f>
      </x:c>
      <x:c r="J210" t="str">
        <x:f>IF(A210="","",IF(I210="","Included","Review"))</x:f>
      </x:c>
      <x:c r="K210" t="str">
        <x:f>IF(J210="Included",IF(F210&lt;=G210,1,0),"")</x:f>
      </x:c>
      <x:c r="L210" s="14" t="str">
        <x:f>IF(J210="Included",C210-WEEKDAY(C210,2)+1,"")</x:f>
      </x:c>
      <x:c r="M210" s="16" t="n">
        <x:f>IF(J210="Included",E210,0)</x:f>
        <x:v>0</x:v>
      </x:c>
      <x:c r="N210" s="16" t="n">
        <x:f>IF(J210="Included",F210,0)</x:f>
        <x:v>0</x:v>
      </x:c>
    </x:row>
    <x:row r="211" ht="32" customHeight="1">
      <x:c r="A211" t="str">
        <x:f>IF(COUNTA('Source'!A205:F205)=0,"",205)</x:f>
      </x:c>
      <x:c r="B211" t="str">
        <x:f>IF(A211="","",UPPER(TRIM('Source'!A205&amp;"")))</x:f>
      </x:c>
      <x:c r="C211" s="14" t="str">
        <x:f>IF(OR(A211="",ISBLANK('Source'!B205)),"",'Source'!B205)</x:f>
      </x:c>
      <x:c r="D211" t="str">
        <x:f>IF(A211="","",UPPER(TRIM('Source'!C205&amp;"")))</x:f>
      </x:c>
      <x:c r="E211" s="16" t="str">
        <x:f>IF(OR(A211="",ISBLANK('Source'!D205)),"",'Source'!D205)</x:f>
      </x:c>
      <x:c r="F211" s="16" t="str">
        <x:f>IF(OR(A211="",ISBLANK('Source'!E205)),"",'Source'!E205)</x:f>
      </x:c>
      <x:c r="G211" s="16" t="str">
        <x:f>IF(OR(A211="",ISBLANK('Source'!F205)),"",'Source'!F205)</x:f>
      </x:c>
      <x:c r="H211" t="str">
        <x:f>IF(A211="","",COUNTIFS($B$8:$B$213,B211))</x:f>
      </x:c>
      <x:c r="I211" s="12" t="str">
        <x:f>IF(A211="","",IF(B211="","Missing ID; ","")&amp;IF(AND(B211&lt;&gt;"",H211&gt;1),"Duplicate ID; ","")&amp;IF(ISNUMBER(C211),IF(OR(C211&lt;'Report'!$C$5,C211&gt;'Report'!$F$5),"Outside reporting period; ",""),"Invalid date; ")&amp;IF(COUNTIFS('Guide'!$B$24:$B$26,D211)=0,"Unknown team; ","")&amp;IF(ISNUMBER(E211),IF(E211&lt;0,"Negative effort; ",""),"Missing/non-numeric effort; ")&amp;IF(ISNUMBER(F211),IF(F211&lt;0,"Negative resolution; ",""),"Missing/non-numeric resolution; ")&amp;IF(ISNUMBER(G211),IF(G211&lt;=0,"Invalid SLA target; ",""),"Missing/non-numeric SLA target; "))</x:f>
      </x:c>
      <x:c r="J211" t="str">
        <x:f>IF(A211="","",IF(I211="","Included","Review"))</x:f>
      </x:c>
      <x:c r="K211" t="str">
        <x:f>IF(J211="Included",IF(F211&lt;=G211,1,0),"")</x:f>
      </x:c>
      <x:c r="L211" s="14" t="str">
        <x:f>IF(J211="Included",C211-WEEKDAY(C211,2)+1,"")</x:f>
      </x:c>
      <x:c r="M211" s="16" t="n">
        <x:f>IF(J211="Included",E211,0)</x:f>
        <x:v>0</x:v>
      </x:c>
      <x:c r="N211" s="16" t="n">
        <x:f>IF(J211="Included",F211,0)</x:f>
        <x:v>0</x:v>
      </x:c>
    </x:row>
    <x:row r="212" ht="32" customHeight="1">
      <x:c r="A212" t="str">
        <x:f>IF(COUNTA('Source'!A206:F206)=0,"",206)</x:f>
      </x:c>
      <x:c r="B212" t="str">
        <x:f>IF(A212="","",UPPER(TRIM('Source'!A206&amp;"")))</x:f>
      </x:c>
      <x:c r="C212" s="14" t="str">
        <x:f>IF(OR(A212="",ISBLANK('Source'!B206)),"",'Source'!B206)</x:f>
      </x:c>
      <x:c r="D212" t="str">
        <x:f>IF(A212="","",UPPER(TRIM('Source'!C206&amp;"")))</x:f>
      </x:c>
      <x:c r="E212" s="16" t="str">
        <x:f>IF(OR(A212="",ISBLANK('Source'!D206)),"",'Source'!D206)</x:f>
      </x:c>
      <x:c r="F212" s="16" t="str">
        <x:f>IF(OR(A212="",ISBLANK('Source'!E206)),"",'Source'!E206)</x:f>
      </x:c>
      <x:c r="G212" s="16" t="str">
        <x:f>IF(OR(A212="",ISBLANK('Source'!F206)),"",'Source'!F206)</x:f>
      </x:c>
      <x:c r="H212" t="str">
        <x:f>IF(A212="","",COUNTIFS($B$8:$B$213,B212))</x:f>
      </x:c>
      <x:c r="I212" s="12" t="str">
        <x:f>IF(A212="","",IF(B212="","Missing ID; ","")&amp;IF(AND(B212&lt;&gt;"",H212&gt;1),"Duplicate ID; ","")&amp;IF(ISNUMBER(C212),IF(OR(C212&lt;'Report'!$C$5,C212&gt;'Report'!$F$5),"Outside reporting period; ",""),"Invalid date; ")&amp;IF(COUNTIFS('Guide'!$B$24:$B$26,D212)=0,"Unknown team; ","")&amp;IF(ISNUMBER(E212),IF(E212&lt;0,"Negative effort; ",""),"Missing/non-numeric effort; ")&amp;IF(ISNUMBER(F212),IF(F212&lt;0,"Negative resolution; ",""),"Missing/non-numeric resolution; ")&amp;IF(ISNUMBER(G212),IF(G212&lt;=0,"Invalid SLA target; ",""),"Missing/non-numeric SLA target; "))</x:f>
      </x:c>
      <x:c r="J212" t="str">
        <x:f>IF(A212="","",IF(I212="","Included","Review"))</x:f>
      </x:c>
      <x:c r="K212" t="str">
        <x:f>IF(J212="Included",IF(F212&lt;=G212,1,0),"")</x:f>
      </x:c>
      <x:c r="L212" s="14" t="str">
        <x:f>IF(J212="Included",C212-WEEKDAY(C212,2)+1,"")</x:f>
      </x:c>
      <x:c r="M212" s="16" t="n">
        <x:f>IF(J212="Included",E212,0)</x:f>
        <x:v>0</x:v>
      </x:c>
      <x:c r="N212" s="16" t="n">
        <x:f>IF(J212="Included",F212,0)</x:f>
        <x:v>0</x:v>
      </x:c>
    </x:row>
    <x:row r="213" ht="32" customHeight="1">
      <x:c r="A213" t="str">
        <x:f>IF(COUNTA('Source'!A207:F207)=0,"",207)</x:f>
      </x:c>
      <x:c r="B213" t="str">
        <x:f>IF(A213="","",UPPER(TRIM('Source'!A207&amp;"")))</x:f>
      </x:c>
      <x:c r="C213" s="14" t="str">
        <x:f>IF(OR(A213="",ISBLANK('Source'!B207)),"",'Source'!B207)</x:f>
      </x:c>
      <x:c r="D213" t="str">
        <x:f>IF(A213="","",UPPER(TRIM('Source'!C207&amp;"")))</x:f>
      </x:c>
      <x:c r="E213" s="16" t="str">
        <x:f>IF(OR(A213="",ISBLANK('Source'!D207)),"",'Source'!D207)</x:f>
      </x:c>
      <x:c r="F213" s="16" t="str">
        <x:f>IF(OR(A213="",ISBLANK('Source'!E207)),"",'Source'!E207)</x:f>
      </x:c>
      <x:c r="G213" s="16" t="str">
        <x:f>IF(OR(A213="",ISBLANK('Source'!F207)),"",'Source'!F207)</x:f>
      </x:c>
      <x:c r="H213" t="str">
        <x:f>IF(A213="","",COUNTIFS($B$8:$B$213,B213))</x:f>
      </x:c>
      <x:c r="I213" s="12" t="str">
        <x:f>IF(A213="","",IF(B213="","Missing ID; ","")&amp;IF(AND(B213&lt;&gt;"",H213&gt;1),"Duplicate ID; ","")&amp;IF(ISNUMBER(C213),IF(OR(C213&lt;'Report'!$C$5,C213&gt;'Report'!$F$5),"Outside reporting period; ",""),"Invalid date; ")&amp;IF(COUNTIFS('Guide'!$B$24:$B$26,D213)=0,"Unknown team; ","")&amp;IF(ISNUMBER(E213),IF(E213&lt;0,"Negative effort; ",""),"Missing/non-numeric effort; ")&amp;IF(ISNUMBER(F213),IF(F213&lt;0,"Negative resolution; ",""),"Missing/non-numeric resolution; ")&amp;IF(ISNUMBER(G213),IF(G213&lt;=0,"Invalid SLA target; ",""),"Missing/non-numeric SLA target; "))</x:f>
      </x:c>
      <x:c r="J213" t="str">
        <x:f>IF(A213="","",IF(I213="","Included","Review"))</x:f>
      </x:c>
      <x:c r="K213" t="str">
        <x:f>IF(J213="Included",IF(F213&lt;=G213,1,0),"")</x:f>
      </x:c>
      <x:c r="L213" s="14" t="str">
        <x:f>IF(J213="Included",C213-WEEKDAY(C213,2)+1,"")</x:f>
      </x:c>
      <x:c r="M213" s="16" t="n">
        <x:f>IF(J213="Included",E213,0)</x:f>
        <x:v>0</x:v>
      </x:c>
      <x:c r="N213" s="16" t="n">
        <x:f>IF(J213="Included",F213,0)</x:f>
        <x:v>0</x:v>
      </x:c>
    </x:row>
  </x:sheetData>
  <x:conditionalFormatting sqref="I8:J213">
    <x:cfRule type="expression" dxfId="0" priority="1">
      <x:formula>$J8="Review"</x:formula>
    </x:cfRule>
  </x:conditionalFormatting>
  <x:pageMargins left="0.7" right="0.7" top="0.75" bottom="0.75" header="0.3" footer="0.3"/>
  <x:tableParts count="1">
    <x:tablePart xmlns:r="http://schemas.openxmlformats.org/officeDocument/2006/relationships" r:id="R16d1263ad75c429f"/>
  </x:tableParts>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9" hidden="0" customWidth="1"/>
    <x:col min="2" max="2" width="19" hidden="0" customWidth="1"/>
    <x:col min="3" max="3" width="19" hidden="0" customWidth="1"/>
    <x:col min="4" max="4" width="20" hidden="0" customWidth="1"/>
    <x:col min="5" max="5" width="20" hidden="0" customWidth="1"/>
    <x:col min="6" max="6" width="20" hidden="0" customWidth="1"/>
    <x:col min="8" max="8" width="66" hidden="0" customWidth="1"/>
  </x:cols>
  <x:sheetData>
    <x:row r="1" ht="30" customHeight="1">
      <x:c r="A1" s="6" t="str">
        <x:v>Ticket ID</x:v>
      </x:c>
      <x:c r="B1" s="6" t="str">
        <x:v>Closed date</x:v>
      </x:c>
      <x:c r="C1" s="6" t="str">
        <x:v>Team</x:v>
      </x:c>
      <x:c r="D1" s="6" t="str">
        <x:v>Effort hours</x:v>
      </x:c>
      <x:c r="E1" s="6" t="str">
        <x:v>Resolution hours</x:v>
      </x:c>
      <x:c r="F1" s="6" t="str">
        <x:v>SLA hours</x:v>
      </x:c>
      <x:c r="H1" t="str">
        <x:v>SYNTHETIC DATA</x:v>
      </x:c>
    </x:row>
    <x:row r="2" ht="22" customHeight="1">
      <x:c r="A2" s="7" t="str">
        <x:v>TU-0001</x:v>
      </x:c>
      <x:c r="B2" s="8" t="n">
        <x:v>46293</x:v>
      </x:c>
      <x:c r="C2" s="7" t="str">
        <x:v> support </x:v>
      </x:c>
      <x:c r="D2" s="9" t="n">
        <x:v>0.5</x:v>
      </x:c>
      <x:c r="E2" s="9" t="n">
        <x:v>2</x:v>
      </x:c>
      <x:c r="F2" s="9" t="n">
        <x:v>24</x:v>
      </x:c>
      <x:c r="H2" t="str">
        <x:v>Fictional closed service tickets. Intentional errors included.</x:v>
      </x:c>
    </x:row>
    <x:row r="3" ht="22" customHeight="1">
      <x:c r="A3" s="7" t="str">
        <x:v>TU-0002</x:v>
      </x:c>
      <x:c r="B3" s="8" t="n">
        <x:v>46294</x:v>
      </x:c>
      <x:c r="C3" s="7" t="str">
        <x:v>LOGISTICS</x:v>
      </x:c>
      <x:c r="D3" s="9" t="n">
        <x:v>0.75</x:v>
      </x:c>
      <x:c r="E3" s="9" t="n">
        <x:v>9</x:v>
      </x:c>
      <x:c r="F3" s="9" t="n">
        <x:v>48</x:v>
      </x:c>
    </x:row>
    <x:row r="4" ht="22" customHeight="1">
      <x:c r="A4" s="7" t="str"/>
      <x:c r="B4" s="8" t="n">
        <x:v>46295</x:v>
      </x:c>
      <x:c r="C4" s="7" t="str">
        <x:v>FIELD</x:v>
      </x:c>
      <x:c r="D4" s="9" t="n">
        <x:v>1</x:v>
      </x:c>
      <x:c r="E4" s="9" t="n">
        <x:v>16</x:v>
      </x:c>
      <x:c r="F4" s="9" t="n">
        <x:v>48</x:v>
      </x:c>
      <x:c r="H4" t="str">
        <x:v>Paste values into A2:F207. Capacity: 206 records.</x:v>
      </x:c>
    </x:row>
    <x:row r="5" ht="22" customHeight="1">
      <x:c r="A5" s="7" t="str">
        <x:v>TU-0004</x:v>
      </x:c>
      <x:c r="B5" s="8" t="n">
        <x:v>46296</x:v>
      </x:c>
      <x:c r="C5" s="7" t="str">
        <x:v>SUPPORT</x:v>
      </x:c>
      <x:c r="D5" s="9" t="n">
        <x:v>1.25</x:v>
      </x:c>
      <x:c r="E5" s="9" t="n">
        <x:v>23</x:v>
      </x:c>
      <x:c r="F5" s="9" t="n">
        <x:v>24</x:v>
      </x:c>
      <x:c r="H5" t="str">
        <x:v>Clear previous inputs before loading a smaller batch.</x:v>
      </x:c>
    </x:row>
    <x:row r="6" ht="22" customHeight="1">
      <x:c r="A6" s="7" t="str">
        <x:v>TU-0005</x:v>
      </x:c>
      <x:c r="B6" s="8" t="n">
        <x:v>46297</x:v>
      </x:c>
      <x:c r="C6" s="7" t="str">
        <x:v> logistics </x:v>
      </x:c>
      <x:c r="D6" s="9" t="n">
        <x:v>1.5</x:v>
      </x:c>
      <x:c r="E6" s="9" t="n">
        <x:v>30</x:v>
      </x:c>
      <x:c r="F6" s="9" t="n">
        <x:v>48</x:v>
      </x:c>
      <x:c r="H6" t="str">
        <x:v>Dates must be Excel dates. Hours must be numeric.</x:v>
      </x:c>
    </x:row>
    <x:row r="7" ht="22" customHeight="1">
      <x:c r="A7" s="7" t="str">
        <x:v>TU-0006</x:v>
      </x:c>
      <x:c r="B7" s="8" t="n">
        <x:v>46293</x:v>
      </x:c>
      <x:c r="C7" s="7" t="str">
        <x:v>FIELD</x:v>
      </x:c>
      <x:c r="D7" s="9" t="n">
        <x:v>1.75</x:v>
      </x:c>
      <x:c r="E7" s="9" t="n">
        <x:v>37</x:v>
      </x:c>
      <x:c r="F7" s="9" t="n">
        <x:v>48</x:v>
      </x:c>
      <x:c r="H7" t="str">
        <x:v>Amber cells are editable inputs. See Guide for the field contract.</x:v>
      </x:c>
    </x:row>
    <x:row r="8" ht="22" customHeight="1">
      <x:c r="A8" s="7" t="str">
        <x:v>TU-0007</x:v>
      </x:c>
      <x:c r="B8" s="8" t="n">
        <x:v>46294</x:v>
      </x:c>
      <x:c r="C8" s="7" t="str">
        <x:v>UNKNOWN</x:v>
      </x:c>
      <x:c r="D8" s="9" t="n">
        <x:v>2</x:v>
      </x:c>
      <x:c r="E8" s="9" t="n">
        <x:v>3</x:v>
      </x:c>
      <x:c r="F8" s="9" t="n">
        <x:v>24</x:v>
      </x:c>
    </x:row>
    <x:row r="9" ht="22" customHeight="1">
      <x:c r="A9" s="7" t="str">
        <x:v>TU-0008</x:v>
      </x:c>
      <x:c r="B9" s="8" t="n">
        <x:v>46295</x:v>
      </x:c>
      <x:c r="C9" s="7" t="str">
        <x:v>LOGISTICS</x:v>
      </x:c>
      <x:c r="D9" s="9" t="n">
        <x:v>2.25</x:v>
      </x:c>
      <x:c r="E9" s="9" t="n">
        <x:v>10</x:v>
      </x:c>
      <x:c r="F9" s="9" t="n">
        <x:v>48</x:v>
      </x:c>
    </x:row>
    <x:row r="10" ht="22" customHeight="1">
      <x:c r="A10" s="7" t="str">
        <x:v>TU-0009</x:v>
      </x:c>
      <x:c r="B10" s="8" t="n">
        <x:v>46296</x:v>
      </x:c>
      <x:c r="C10" s="7" t="str">
        <x:v> field </x:v>
      </x:c>
      <x:c r="D10" s="9" t="n">
        <x:v>2.5</x:v>
      </x:c>
      <x:c r="E10" s="9" t="n">
        <x:v>17</x:v>
      </x:c>
      <x:c r="F10" s="9" t="n">
        <x:v>48</x:v>
      </x:c>
    </x:row>
    <x:row r="11" ht="22" customHeight="1">
      <x:c r="A11" s="7" t="str">
        <x:v>TU-0010</x:v>
      </x:c>
      <x:c r="B11" s="8" t="n">
        <x:v>46297</x:v>
      </x:c>
      <x:c r="C11" s="7" t="str">
        <x:v>SUPPORT</x:v>
      </x:c>
      <x:c r="D11" s="9" t="n">
        <x:v>0.5</x:v>
      </x:c>
      <x:c r="E11" s="9" t="n">
        <x:v>24</x:v>
      </x:c>
      <x:c r="F11" s="9" t="n">
        <x:v>24</x:v>
      </x:c>
    </x:row>
    <x:row r="12" ht="22" customHeight="1">
      <x:c r="A12" s="7" t="str">
        <x:v>TU-0011</x:v>
      </x:c>
      <x:c r="B12" s="8" t="n">
        <x:v>46293</x:v>
      </x:c>
      <x:c r="C12" s="7" t="str">
        <x:v>LOGISTICS</x:v>
      </x:c>
      <x:c r="D12" s="9" t="n">
        <x:v>-2</x:v>
      </x:c>
      <x:c r="E12" s="9" t="n">
        <x:v>31</x:v>
      </x:c>
      <x:c r="F12" s="9" t="n">
        <x:v>48</x:v>
      </x:c>
    </x:row>
    <x:row r="13" ht="22" customHeight="1">
      <x:c r="A13" s="7" t="str">
        <x:v>TU-0012</x:v>
      </x:c>
      <x:c r="B13" s="8" t="n">
        <x:v>46294</x:v>
      </x:c>
      <x:c r="C13" s="7" t="str">
        <x:v>FIELD</x:v>
      </x:c>
      <x:c r="D13" s="9" t="n">
        <x:v>1</x:v>
      </x:c>
      <x:c r="E13" s="9" t="n">
        <x:v>38</x:v>
      </x:c>
      <x:c r="F13" s="9" t="n">
        <x:v>48</x:v>
      </x:c>
    </x:row>
    <x:row r="14" ht="22" customHeight="1">
      <x:c r="A14" s="7" t="str">
        <x:v>TU-0013</x:v>
      </x:c>
      <x:c r="B14" s="8" t="n">
        <x:v>46295</x:v>
      </x:c>
      <x:c r="C14" s="7" t="str">
        <x:v> support </x:v>
      </x:c>
      <x:c r="D14" s="9" t="n">
        <x:v>1.25</x:v>
      </x:c>
      <x:c r="E14" s="9" t="n">
        <x:v>4</x:v>
      </x:c>
      <x:c r="F14" s="9" t="n">
        <x:v>24</x:v>
      </x:c>
    </x:row>
    <x:row r="15" ht="22" customHeight="1">
      <x:c r="A15" s="7" t="str">
        <x:v>TU-0014</x:v>
      </x:c>
      <x:c r="B15" s="8" t="n">
        <x:v>46296</x:v>
      </x:c>
      <x:c r="C15" s="7" t="str">
        <x:v>LOGISTICS</x:v>
      </x:c>
      <x:c r="D15" s="9" t="n">
        <x:v>1.5</x:v>
      </x:c>
      <x:c r="E15" s="9" t="n">
        <x:v>11</x:v>
      </x:c>
      <x:c r="F15" s="9" t="n">
        <x:v>48</x:v>
      </x:c>
    </x:row>
    <x:row r="16" ht="22" customHeight="1">
      <x:c r="A16" s="7" t="str">
        <x:v>TU-0015</x:v>
      </x:c>
      <x:c r="B16" s="8" t="n">
        <x:v>46297</x:v>
      </x:c>
      <x:c r="C16" s="7" t="str">
        <x:v>FIELD</x:v>
      </x:c>
      <x:c r="D16" s="9" t="str"/>
      <x:c r="E16" s="9" t="n">
        <x:v>18</x:v>
      </x:c>
      <x:c r="F16" s="9" t="n">
        <x:v>48</x:v>
      </x:c>
    </x:row>
    <x:row r="17" ht="22" customHeight="1">
      <x:c r="A17" s="7" t="str">
        <x:v>TU-0016</x:v>
      </x:c>
      <x:c r="B17" s="8" t="n">
        <x:v>46293</x:v>
      </x:c>
      <x:c r="C17" s="7" t="str">
        <x:v>SUPPORT</x:v>
      </x:c>
      <x:c r="D17" s="9" t="n">
        <x:v>2</x:v>
      </x:c>
      <x:c r="E17" s="9" t="n">
        <x:v>25</x:v>
      </x:c>
      <x:c r="F17" s="9" t="n">
        <x:v>24</x:v>
      </x:c>
    </x:row>
    <x:row r="18" ht="22" customHeight="1">
      <x:c r="A18" s="7" t="str">
        <x:v>TU-0017</x:v>
      </x:c>
      <x:c r="B18" s="8" t="n">
        <x:v>46294</x:v>
      </x:c>
      <x:c r="C18" s="7" t="str">
        <x:v> logistics </x:v>
      </x:c>
      <x:c r="D18" s="9" t="n">
        <x:v>2.25</x:v>
      </x:c>
      <x:c r="E18" s="9" t="n">
        <x:v>32</x:v>
      </x:c>
      <x:c r="F18" s="9" t="n">
        <x:v>48</x:v>
      </x:c>
    </x:row>
    <x:row r="19" ht="22" customHeight="1">
      <x:c r="A19" s="7" t="str">
        <x:v>TU-0018</x:v>
      </x:c>
      <x:c r="B19" s="8" t="n">
        <x:v>46295</x:v>
      </x:c>
      <x:c r="C19" s="7" t="str">
        <x:v>FIELD</x:v>
      </x:c>
      <x:c r="D19" s="9" t="n">
        <x:v>2.5</x:v>
      </x:c>
      <x:c r="E19" s="9" t="n">
        <x:v>39</x:v>
      </x:c>
      <x:c r="F19" s="9" t="n">
        <x:v>48</x:v>
      </x:c>
    </x:row>
    <x:row r="20" ht="22" customHeight="1">
      <x:c r="A20" s="7" t="str">
        <x:v>TU-0019</x:v>
      </x:c>
      <x:c r="B20" s="8" t="str">
        <x:v>not a date</x:v>
      </x:c>
      <x:c r="C20" s="7" t="str">
        <x:v>SUPPORT</x:v>
      </x:c>
      <x:c r="D20" s="9" t="n">
        <x:v>0.5</x:v>
      </x:c>
      <x:c r="E20" s="9" t="n">
        <x:v>5</x:v>
      </x:c>
      <x:c r="F20" s="9" t="n">
        <x:v>24</x:v>
      </x:c>
    </x:row>
    <x:row r="21" ht="22" customHeight="1">
      <x:c r="A21" s="7" t="str">
        <x:v>TU-0020</x:v>
      </x:c>
      <x:c r="B21" s="8" t="n">
        <x:v>46297</x:v>
      </x:c>
      <x:c r="C21" s="7" t="str">
        <x:v>LOGISTICS</x:v>
      </x:c>
      <x:c r="D21" s="9" t="n">
        <x:v>0.75</x:v>
      </x:c>
      <x:c r="E21" s="9" t="n">
        <x:v>12</x:v>
      </x:c>
      <x:c r="F21" s="9" t="n">
        <x:v>48</x:v>
      </x:c>
    </x:row>
    <x:row r="22" ht="22" customHeight="1">
      <x:c r="A22" s="7" t="str">
        <x:v>TU-0021</x:v>
      </x:c>
      <x:c r="B22" s="8" t="n">
        <x:v>46293</x:v>
      </x:c>
      <x:c r="C22" s="7" t="str">
        <x:v> field </x:v>
      </x:c>
      <x:c r="D22" s="9" t="n">
        <x:v>1</x:v>
      </x:c>
      <x:c r="E22" s="9" t="n">
        <x:v>19</x:v>
      </x:c>
      <x:c r="F22" s="9" t="n">
        <x:v>48</x:v>
      </x:c>
    </x:row>
    <x:row r="23" ht="22" customHeight="1">
      <x:c r="A23" s="7" t="str">
        <x:v>TU-0022</x:v>
      </x:c>
      <x:c r="B23" s="8" t="n">
        <x:v>46294</x:v>
      </x:c>
      <x:c r="C23" s="7" t="str">
        <x:v>SUPPORT</x:v>
      </x:c>
      <x:c r="D23" s="9" t="n">
        <x:v>1.25</x:v>
      </x:c>
      <x:c r="E23" s="9" t="n">
        <x:v>26</x:v>
      </x:c>
      <x:c r="F23" s="9" t="n">
        <x:v>24</x:v>
      </x:c>
    </x:row>
    <x:row r="24" ht="22" customHeight="1">
      <x:c r="A24" s="7" t="str">
        <x:v>TU-0023</x:v>
      </x:c>
      <x:c r="B24" s="8" t="n">
        <x:v>46295</x:v>
      </x:c>
      <x:c r="C24" s="7" t="str">
        <x:v>LOGISTICS</x:v>
      </x:c>
      <x:c r="D24" s="9" t="n">
        <x:v>1.5</x:v>
      </x:c>
      <x:c r="E24" s="9" t="n">
        <x:v>-1</x:v>
      </x:c>
      <x:c r="F24" s="9" t="n">
        <x:v>48</x:v>
      </x:c>
    </x:row>
    <x:row r="25" ht="22" customHeight="1">
      <x:c r="A25" s="7" t="str">
        <x:v>TU-0024</x:v>
      </x:c>
      <x:c r="B25" s="8" t="n">
        <x:v>46296</x:v>
      </x:c>
      <x:c r="C25" s="7" t="str">
        <x:v>FIELD</x:v>
      </x:c>
      <x:c r="D25" s="9" t="n">
        <x:v>1.75</x:v>
      </x:c>
      <x:c r="E25" s="9" t="n">
        <x:v>40</x:v>
      </x:c>
      <x:c r="F25" s="9" t="n">
        <x:v>48</x:v>
      </x:c>
    </x:row>
    <x:row r="26" ht="22" customHeight="1">
      <x:c r="A26" s="7" t="str">
        <x:v>TU-0025</x:v>
      </x:c>
      <x:c r="B26" s="8" t="n">
        <x:v>46304</x:v>
      </x:c>
      <x:c r="C26" s="7" t="str">
        <x:v> support </x:v>
      </x:c>
      <x:c r="D26" s="9" t="n">
        <x:v>2</x:v>
      </x:c>
      <x:c r="E26" s="9" t="n">
        <x:v>6</x:v>
      </x:c>
      <x:c r="F26" s="9" t="n">
        <x:v>24</x:v>
      </x:c>
    </x:row>
    <x:row r="27" ht="22" customHeight="1">
      <x:c r="A27" s="7" t="str">
        <x:v>TU-0026</x:v>
      </x:c>
      <x:c r="B27" s="8" t="n">
        <x:v>46300</x:v>
      </x:c>
      <x:c r="C27" s="7" t="str">
        <x:v>LOGISTICS</x:v>
      </x:c>
      <x:c r="D27" s="9" t="n">
        <x:v>2.25</x:v>
      </x:c>
      <x:c r="E27" s="9" t="n">
        <x:v>13</x:v>
      </x:c>
      <x:c r="F27" s="9" t="n">
        <x:v>48</x:v>
      </x:c>
    </x:row>
    <x:row r="28" ht="22" customHeight="1">
      <x:c r="A28" s="7" t="str">
        <x:v>TU-0027</x:v>
      </x:c>
      <x:c r="B28" s="8" t="n">
        <x:v>46301</x:v>
      </x:c>
      <x:c r="C28" s="7" t="str">
        <x:v>FIELD</x:v>
      </x:c>
      <x:c r="D28" s="9" t="n">
        <x:v>2.5</x:v>
      </x:c>
      <x:c r="E28" s="9" t="n">
        <x:v>20</x:v>
      </x:c>
      <x:c r="F28" s="9" t="n">
        <x:v>0</x:v>
      </x:c>
    </x:row>
    <x:row r="29" ht="22" customHeight="1">
      <x:c r="A29" s="7" t="str">
        <x:v>TU-0028</x:v>
      </x:c>
      <x:c r="B29" s="8" t="n">
        <x:v>46302</x:v>
      </x:c>
      <x:c r="C29" s="7" t="str">
        <x:v>SUPPORT</x:v>
      </x:c>
      <x:c r="D29" s="9" t="n">
        <x:v>0.5</x:v>
      </x:c>
      <x:c r="E29" s="9" t="n">
        <x:v>27</x:v>
      </x:c>
      <x:c r="F29" s="9" t="n">
        <x:v>24</x:v>
      </x:c>
    </x:row>
    <x:row r="30" ht="22" customHeight="1">
      <x:c r="A30" s="7" t="str">
        <x:v>TU-0029</x:v>
      </x:c>
      <x:c r="B30" s="8" t="n">
        <x:v>46303</x:v>
      </x:c>
      <x:c r="C30" s="7" t="str">
        <x:v> logistics </x:v>
      </x:c>
      <x:c r="D30" s="9" t="n">
        <x:v>0.75</x:v>
      </x:c>
      <x:c r="E30" s="9" t="n">
        <x:v>34</x:v>
      </x:c>
      <x:c r="F30" s="9" t="n">
        <x:v>48</x:v>
      </x:c>
    </x:row>
    <x:row r="31" ht="22" customHeight="1">
      <x:c r="A31" s="7" t="str">
        <x:v>TU-0030</x:v>
      </x:c>
      <x:c r="B31" s="8" t="n">
        <x:v>46304</x:v>
      </x:c>
      <x:c r="C31" s="7" t="str">
        <x:v>FIELD</x:v>
      </x:c>
      <x:c r="D31" s="9" t="n">
        <x:v>1</x:v>
      </x:c>
      <x:c r="E31" s="9" t="n">
        <x:v>41</x:v>
      </x:c>
      <x:c r="F31" s="9" t="n">
        <x:v>48</x:v>
      </x:c>
    </x:row>
    <x:row r="32" ht="22" customHeight="1">
      <x:c r="A32" s="7" t="str">
        <x:v>TU-0031</x:v>
      </x:c>
      <x:c r="B32" s="8" t="n">
        <x:v>46300</x:v>
      </x:c>
      <x:c r="C32" s="7" t="str">
        <x:v>SUPPORT</x:v>
      </x:c>
      <x:c r="D32" s="9" t="n">
        <x:v>1.25</x:v>
      </x:c>
      <x:c r="E32" s="9" t="str">
        <x:v>pending</x:v>
      </x:c>
      <x:c r="F32" s="9" t="n">
        <x:v>24</x:v>
      </x:c>
    </x:row>
    <x:row r="33" ht="22" customHeight="1">
      <x:c r="A33" s="7" t="str">
        <x:v>TU-0032</x:v>
      </x:c>
      <x:c r="B33" s="8" t="n">
        <x:v>46301</x:v>
      </x:c>
      <x:c r="C33" s="7" t="str">
        <x:v>LOGISTICS</x:v>
      </x:c>
      <x:c r="D33" s="9" t="n">
        <x:v>1.5</x:v>
      </x:c>
      <x:c r="E33" s="9" t="n">
        <x:v>14</x:v>
      </x:c>
      <x:c r="F33" s="9" t="n">
        <x:v>48</x:v>
      </x:c>
    </x:row>
    <x:row r="34" ht="22" customHeight="1">
      <x:c r="A34" s="7" t="str">
        <x:v>TU-0033</x:v>
      </x:c>
      <x:c r="B34" s="8" t="n">
        <x:v>46302</x:v>
      </x:c>
      <x:c r="C34" s="7" t="str">
        <x:v> field </x:v>
      </x:c>
      <x:c r="D34" s="9" t="n">
        <x:v>1.75</x:v>
      </x:c>
      <x:c r="E34" s="9" t="n">
        <x:v>21</x:v>
      </x:c>
      <x:c r="F34" s="9" t="n">
        <x:v>48</x:v>
      </x:c>
    </x:row>
    <x:row r="35" ht="22" customHeight="1">
      <x:c r="A35" s="7" t="str">
        <x:v>TU-0034</x:v>
      </x:c>
      <x:c r="B35" s="8" t="n">
        <x:v>46303</x:v>
      </x:c>
      <x:c r="C35" s="7" t="str">
        <x:v>SUPPORT</x:v>
      </x:c>
      <x:c r="D35" s="9" t="n">
        <x:v>2</x:v>
      </x:c>
      <x:c r="E35" s="9" t="n">
        <x:v>28</x:v>
      </x:c>
      <x:c r="F35" s="9" t="n">
        <x:v>24</x:v>
      </x:c>
    </x:row>
    <x:row r="36" ht="22" customHeight="1">
      <x:c r="A36" s="7" t="str">
        <x:v>TU-0035</x:v>
      </x:c>
      <x:c r="B36" s="8" t="n">
        <x:v>46304</x:v>
      </x:c>
      <x:c r="C36" s="7" t="str">
        <x:v>LOGISTICS</x:v>
      </x:c>
      <x:c r="D36" s="9" t="n">
        <x:v>2.25</x:v>
      </x:c>
      <x:c r="E36" s="9" t="n">
        <x:v>35</x:v>
      </x:c>
      <x:c r="F36" s="9" t="n">
        <x:v>48</x:v>
      </x:c>
    </x:row>
    <x:row r="37" ht="22" customHeight="1">
      <x:c r="A37" s="7" t="str">
        <x:v>TU-0036</x:v>
      </x:c>
      <x:c r="B37" s="8" t="n">
        <x:v>46300</x:v>
      </x:c>
      <x:c r="C37" s="7" t="str">
        <x:v>FIELD</x:v>
      </x:c>
      <x:c r="D37" s="9" t="n">
        <x:v>2.5</x:v>
      </x:c>
      <x:c r="E37" s="9" t="n">
        <x:v>42</x:v>
      </x:c>
      <x:c r="F37" s="9" t="n">
        <x:v>48</x:v>
      </x:c>
    </x:row>
    <x:row r="38" ht="22" customHeight="1">
      <x:c r="A38" s="7" t="str">
        <x:v>TU-0037</x:v>
      </x:c>
      <x:c r="B38" s="8" t="n">
        <x:v>46301</x:v>
      </x:c>
      <x:c r="C38" s="7" t="str">
        <x:v> support </x:v>
      </x:c>
      <x:c r="D38" s="9" t="n">
        <x:v>0.5</x:v>
      </x:c>
      <x:c r="E38" s="9" t="n">
        <x:v>8</x:v>
      </x:c>
      <x:c r="F38" s="9" t="n">
        <x:v>24</x:v>
      </x:c>
    </x:row>
    <x:row r="39" ht="22" customHeight="1">
      <x:c r="A39" s="7" t="str">
        <x:v>TU-0038</x:v>
      </x:c>
      <x:c r="B39" s="8" t="n">
        <x:v>46302</x:v>
      </x:c>
      <x:c r="C39" s="7" t="str">
        <x:v>LOGISTICS</x:v>
      </x:c>
      <x:c r="D39" s="9" t="n">
        <x:v>0.75</x:v>
      </x:c>
      <x:c r="E39" s="9" t="n">
        <x:v>15</x:v>
      </x:c>
      <x:c r="F39" s="9" t="n">
        <x:v>48</x:v>
      </x:c>
    </x:row>
    <x:row r="40" ht="22" customHeight="1">
      <x:c r="A40" s="7" t="str">
        <x:v>TU-0039</x:v>
      </x:c>
      <x:c r="B40" s="8" t="n">
        <x:v>46303</x:v>
      </x:c>
      <x:c r="C40" s="7" t="str">
        <x:v>FIELD</x:v>
      </x:c>
      <x:c r="D40" s="9" t="n">
        <x:v>1</x:v>
      </x:c>
      <x:c r="E40" s="9" t="n">
        <x:v>22</x:v>
      </x:c>
      <x:c r="F40" s="9" t="n">
        <x:v>48</x:v>
      </x:c>
    </x:row>
    <x:row r="41" ht="22" customHeight="1">
      <x:c r="A41" s="7" t="str">
        <x:v>TU-0040</x:v>
      </x:c>
      <x:c r="B41" s="8" t="n">
        <x:v>46304</x:v>
      </x:c>
      <x:c r="C41" s="7" t="str">
        <x:v>SUPPORT</x:v>
      </x:c>
      <x:c r="D41" s="9" t="n">
        <x:v>1.25</x:v>
      </x:c>
      <x:c r="E41" s="9" t="n">
        <x:v>29</x:v>
      </x:c>
      <x:c r="F41" s="9" t="n">
        <x:v>24</x:v>
      </x:c>
    </x:row>
    <x:row r="42" ht="22" customHeight="1">
      <x:c r="A42" s="7" t="str">
        <x:v>TU-0041</x:v>
      </x:c>
      <x:c r="B42" s="8" t="n">
        <x:v>46300</x:v>
      </x:c>
      <x:c r="C42" s="7" t="str">
        <x:v> logistics </x:v>
      </x:c>
      <x:c r="D42" s="9" t="n">
        <x:v>1.5</x:v>
      </x:c>
      <x:c r="E42" s="9" t="n">
        <x:v>36</x:v>
      </x:c>
      <x:c r="F42" s="9" t="n">
        <x:v>48</x:v>
      </x:c>
    </x:row>
    <x:row r="43" ht="22" customHeight="1">
      <x:c r="A43" s="7" t="str">
        <x:v>TU-0042</x:v>
      </x:c>
      <x:c r="B43" s="8" t="n">
        <x:v>46301</x:v>
      </x:c>
      <x:c r="C43" s="7" t="str">
        <x:v>FIELD</x:v>
      </x:c>
      <x:c r="D43" s="9" t="n">
        <x:v>1.75</x:v>
      </x:c>
      <x:c r="E43" s="9" t="n">
        <x:v>2</x:v>
      </x:c>
      <x:c r="F43" s="9" t="n">
        <x:v>48</x:v>
      </x:c>
    </x:row>
    <x:row r="44" ht="22" customHeight="1">
      <x:c r="A44" s="7" t="str">
        <x:v>TU-0043</x:v>
      </x:c>
      <x:c r="B44" s="8" t="n">
        <x:v>46302</x:v>
      </x:c>
      <x:c r="C44" s="7" t="str">
        <x:v>SUPPORT</x:v>
      </x:c>
      <x:c r="D44" s="9" t="n">
        <x:v>2</x:v>
      </x:c>
      <x:c r="E44" s="9" t="n">
        <x:v>9</x:v>
      </x:c>
      <x:c r="F44" s="9" t="n">
        <x:v>24</x:v>
      </x:c>
    </x:row>
    <x:row r="45" ht="22" customHeight="1">
      <x:c r="A45" s="7" t="str">
        <x:v>TU-0044</x:v>
      </x:c>
      <x:c r="B45" s="8" t="n">
        <x:v>46303</x:v>
      </x:c>
      <x:c r="C45" s="7" t="str">
        <x:v>LOGISTICS</x:v>
      </x:c>
      <x:c r="D45" s="9" t="n">
        <x:v>2.25</x:v>
      </x:c>
      <x:c r="E45" s="9" t="n">
        <x:v>16</x:v>
      </x:c>
      <x:c r="F45" s="9" t="n">
        <x:v>48</x:v>
      </x:c>
    </x:row>
    <x:row r="46" ht="22" customHeight="1">
      <x:c r="A46" s="7" t="str">
        <x:v>TU-0045</x:v>
      </x:c>
      <x:c r="B46" s="8" t="n">
        <x:v>46304</x:v>
      </x:c>
      <x:c r="C46" s="7" t="str">
        <x:v> field </x:v>
      </x:c>
      <x:c r="D46" s="9" t="n">
        <x:v>2.5</x:v>
      </x:c>
      <x:c r="E46" s="9" t="n">
        <x:v>23</x:v>
      </x:c>
      <x:c r="F46" s="9" t="n">
        <x:v>48</x:v>
      </x:c>
    </x:row>
    <x:row r="47" ht="22" customHeight="1">
      <x:c r="A47" s="7" t="str">
        <x:v>TU-0046</x:v>
      </x:c>
      <x:c r="B47" s="8" t="n">
        <x:v>46300</x:v>
      </x:c>
      <x:c r="C47" s="7" t="str">
        <x:v>SUPPORT</x:v>
      </x:c>
      <x:c r="D47" s="9" t="n">
        <x:v>0.5</x:v>
      </x:c>
      <x:c r="E47" s="9" t="n">
        <x:v>30</x:v>
      </x:c>
      <x:c r="F47" s="9" t="n">
        <x:v>24</x:v>
      </x:c>
    </x:row>
    <x:row r="48" ht="22" customHeight="1">
      <x:c r="A48" s="7" t="str">
        <x:v>TU-0047</x:v>
      </x:c>
      <x:c r="B48" s="8" t="n">
        <x:v>46301</x:v>
      </x:c>
      <x:c r="C48" s="7" t="str">
        <x:v>LOGISTICS</x:v>
      </x:c>
      <x:c r="D48" s="9" t="n">
        <x:v>0.75</x:v>
      </x:c>
      <x:c r="E48" s="9" t="n">
        <x:v>37</x:v>
      </x:c>
      <x:c r="F48" s="9" t="n">
        <x:v>48</x:v>
      </x:c>
    </x:row>
    <x:row r="49" ht="22" customHeight="1">
      <x:c r="A49" s="7" t="str">
        <x:v>TU-0048</x:v>
      </x:c>
      <x:c r="B49" s="8" t="n">
        <x:v>46302</x:v>
      </x:c>
      <x:c r="C49" s="7" t="str">
        <x:v>FIELD</x:v>
      </x:c>
      <x:c r="D49" s="9" t="n">
        <x:v>1</x:v>
      </x:c>
      <x:c r="E49" s="9" t="n">
        <x:v>3</x:v>
      </x:c>
      <x:c r="F49" s="9" t="n">
        <x:v>48</x:v>
      </x:c>
    </x:row>
    <x:row r="50" ht="22" customHeight="1">
      <x:c r="A50" s="7" t="str">
        <x:v>TU-0049</x:v>
      </x:c>
      <x:c r="B50" s="8" t="n">
        <x:v>46310</x:v>
      </x:c>
      <x:c r="C50" s="7" t="str">
        <x:v> support </x:v>
      </x:c>
      <x:c r="D50" s="9" t="n">
        <x:v>1.25</x:v>
      </x:c>
      <x:c r="E50" s="9" t="n">
        <x:v>10</x:v>
      </x:c>
      <x:c r="F50" s="9" t="n">
        <x:v>24</x:v>
      </x:c>
    </x:row>
    <x:row r="51" ht="22" customHeight="1">
      <x:c r="A51" s="7" t="str">
        <x:v>TU-0050</x:v>
      </x:c>
      <x:c r="B51" s="8" t="n">
        <x:v>46311</x:v>
      </x:c>
      <x:c r="C51" s="7" t="str">
        <x:v>LOGISTICS</x:v>
      </x:c>
      <x:c r="D51" s="9" t="n">
        <x:v>1.5</x:v>
      </x:c>
      <x:c r="E51" s="9" t="n">
        <x:v>17</x:v>
      </x:c>
      <x:c r="F51" s="9" t="n">
        <x:v>48</x:v>
      </x:c>
    </x:row>
    <x:row r="52" ht="22" customHeight="1">
      <x:c r="A52" s="7" t="str">
        <x:v>TU-0051</x:v>
      </x:c>
      <x:c r="B52" s="8" t="n">
        <x:v>46307</x:v>
      </x:c>
      <x:c r="C52" s="7" t="str">
        <x:v>FIELD</x:v>
      </x:c>
      <x:c r="D52" s="9" t="n">
        <x:v>1.75</x:v>
      </x:c>
      <x:c r="E52" s="9" t="n">
        <x:v>24</x:v>
      </x:c>
      <x:c r="F52" s="9" t="n">
        <x:v>48</x:v>
      </x:c>
    </x:row>
    <x:row r="53" ht="22" customHeight="1">
      <x:c r="A53" s="7" t="str">
        <x:v>TU-0052</x:v>
      </x:c>
      <x:c r="B53" s="8" t="n">
        <x:v>46308</x:v>
      </x:c>
      <x:c r="C53" s="7" t="str">
        <x:v>SUPPORT</x:v>
      </x:c>
      <x:c r="D53" s="9" t="n">
        <x:v>2</x:v>
      </x:c>
      <x:c r="E53" s="9" t="n">
        <x:v>31</x:v>
      </x:c>
      <x:c r="F53" s="9" t="n">
        <x:v>24</x:v>
      </x:c>
    </x:row>
    <x:row r="54" ht="22" customHeight="1">
      <x:c r="A54" s="7" t="str">
        <x:v>TU-0053</x:v>
      </x:c>
      <x:c r="B54" s="8" t="n">
        <x:v>46309</x:v>
      </x:c>
      <x:c r="C54" s="7" t="str">
        <x:v> logistics </x:v>
      </x:c>
      <x:c r="D54" s="9" t="n">
        <x:v>2.25</x:v>
      </x:c>
      <x:c r="E54" s="9" t="n">
        <x:v>38</x:v>
      </x:c>
      <x:c r="F54" s="9" t="n">
        <x:v>48</x:v>
      </x:c>
    </x:row>
    <x:row r="55" ht="22" customHeight="1">
      <x:c r="A55" s="7" t="str">
        <x:v>TU-0054</x:v>
      </x:c>
      <x:c r="B55" s="8" t="n">
        <x:v>46310</x:v>
      </x:c>
      <x:c r="C55" s="7" t="str">
        <x:v>FIELD</x:v>
      </x:c>
      <x:c r="D55" s="9" t="n">
        <x:v>2.5</x:v>
      </x:c>
      <x:c r="E55" s="9" t="n">
        <x:v>4</x:v>
      </x:c>
      <x:c r="F55" s="9" t="n">
        <x:v>48</x:v>
      </x:c>
    </x:row>
    <x:row r="56" ht="22" customHeight="1">
      <x:c r="A56" s="7" t="str">
        <x:v>TU-0055</x:v>
      </x:c>
      <x:c r="B56" s="8" t="n">
        <x:v>46311</x:v>
      </x:c>
      <x:c r="C56" s="7" t="str">
        <x:v>SUPPORT</x:v>
      </x:c>
      <x:c r="D56" s="9" t="n">
        <x:v>0.5</x:v>
      </x:c>
      <x:c r="E56" s="9" t="n">
        <x:v>11</x:v>
      </x:c>
      <x:c r="F56" s="9" t="n">
        <x:v>24</x:v>
      </x:c>
    </x:row>
    <x:row r="57" ht="22" customHeight="1">
      <x:c r="A57" s="7" t="str">
        <x:v>TU-0056</x:v>
      </x:c>
      <x:c r="B57" s="8" t="n">
        <x:v>46307</x:v>
      </x:c>
      <x:c r="C57" s="7" t="str">
        <x:v>LOGISTICS</x:v>
      </x:c>
      <x:c r="D57" s="9" t="n">
        <x:v>0.75</x:v>
      </x:c>
      <x:c r="E57" s="9" t="n">
        <x:v>18</x:v>
      </x:c>
      <x:c r="F57" s="9" t="n">
        <x:v>48</x:v>
      </x:c>
    </x:row>
    <x:row r="58" ht="22" customHeight="1">
      <x:c r="A58" s="7" t="str">
        <x:v>TU-0057</x:v>
      </x:c>
      <x:c r="B58" s="8" t="n">
        <x:v>46308</x:v>
      </x:c>
      <x:c r="C58" s="7" t="str">
        <x:v> field </x:v>
      </x:c>
      <x:c r="D58" s="9" t="n">
        <x:v>1</x:v>
      </x:c>
      <x:c r="E58" s="9" t="n">
        <x:v>25</x:v>
      </x:c>
      <x:c r="F58" s="9" t="n">
        <x:v>48</x:v>
      </x:c>
    </x:row>
    <x:row r="59" ht="22" customHeight="1">
      <x:c r="A59" s="7" t="str">
        <x:v>TU-0058</x:v>
      </x:c>
      <x:c r="B59" s="8" t="n">
        <x:v>46309</x:v>
      </x:c>
      <x:c r="C59" s="7" t="str">
        <x:v>SUPPORT</x:v>
      </x:c>
      <x:c r="D59" s="9" t="n">
        <x:v>1.25</x:v>
      </x:c>
      <x:c r="E59" s="9" t="n">
        <x:v>32</x:v>
      </x:c>
      <x:c r="F59" s="9" t="n">
        <x:v>24</x:v>
      </x:c>
    </x:row>
    <x:row r="60" ht="22" customHeight="1">
      <x:c r="A60" s="7" t="str">
        <x:v>TU-0059</x:v>
      </x:c>
      <x:c r="B60" s="8" t="n">
        <x:v>46310</x:v>
      </x:c>
      <x:c r="C60" s="7" t="str">
        <x:v>LOGISTICS</x:v>
      </x:c>
      <x:c r="D60" s="9" t="n">
        <x:v>1.5</x:v>
      </x:c>
      <x:c r="E60" s="9" t="n">
        <x:v>39</x:v>
      </x:c>
      <x:c r="F60" s="9" t="n">
        <x:v>48</x:v>
      </x:c>
    </x:row>
    <x:row r="61" ht="22" customHeight="1">
      <x:c r="A61" s="7" t="str">
        <x:v>TU-0060</x:v>
      </x:c>
      <x:c r="B61" s="8" t="n">
        <x:v>46311</x:v>
      </x:c>
      <x:c r="C61" s="7" t="str">
        <x:v>FIELD</x:v>
      </x:c>
      <x:c r="D61" s="9" t="n">
        <x:v>1.75</x:v>
      </x:c>
      <x:c r="E61" s="9" t="n">
        <x:v>5</x:v>
      </x:c>
      <x:c r="F61" s="9" t="n">
        <x:v>48</x:v>
      </x:c>
    </x:row>
    <x:row r="62" ht="22" customHeight="1">
      <x:c r="A62" s="7" t="str">
        <x:v>TU-0061</x:v>
      </x:c>
      <x:c r="B62" s="8" t="n">
        <x:v>46307</x:v>
      </x:c>
      <x:c r="C62" s="7" t="str">
        <x:v> support </x:v>
      </x:c>
      <x:c r="D62" s="9" t="n">
        <x:v>2</x:v>
      </x:c>
      <x:c r="E62" s="9" t="n">
        <x:v>12</x:v>
      </x:c>
      <x:c r="F62" s="9" t="n">
        <x:v>24</x:v>
      </x:c>
    </x:row>
    <x:row r="63" ht="22" customHeight="1">
      <x:c r="A63" s="7" t="str">
        <x:v>TU-0062</x:v>
      </x:c>
      <x:c r="B63" s="8" t="n">
        <x:v>46308</x:v>
      </x:c>
      <x:c r="C63" s="7" t="str">
        <x:v>LOGISTICS</x:v>
      </x:c>
      <x:c r="D63" s="9" t="n">
        <x:v>2.25</x:v>
      </x:c>
      <x:c r="E63" s="9" t="n">
        <x:v>19</x:v>
      </x:c>
      <x:c r="F63" s="9" t="n">
        <x:v>48</x:v>
      </x:c>
    </x:row>
    <x:row r="64" ht="22" customHeight="1">
      <x:c r="A64" s="7" t="str">
        <x:v>TU-0063</x:v>
      </x:c>
      <x:c r="B64" s="8" t="n">
        <x:v>46309</x:v>
      </x:c>
      <x:c r="C64" s="7" t="str">
        <x:v>FIELD</x:v>
      </x:c>
      <x:c r="D64" s="9" t="n">
        <x:v>2.5</x:v>
      </x:c>
      <x:c r="E64" s="9" t="n">
        <x:v>26</x:v>
      </x:c>
      <x:c r="F64" s="9" t="n">
        <x:v>48</x:v>
      </x:c>
    </x:row>
    <x:row r="65" ht="22" customHeight="1">
      <x:c r="A65" s="7" t="str">
        <x:v>TU-0064</x:v>
      </x:c>
      <x:c r="B65" s="8" t="n">
        <x:v>46310</x:v>
      </x:c>
      <x:c r="C65" s="7" t="str">
        <x:v>SUPPORT</x:v>
      </x:c>
      <x:c r="D65" s="9" t="n">
        <x:v>0.5</x:v>
      </x:c>
      <x:c r="E65" s="9" t="n">
        <x:v>33</x:v>
      </x:c>
      <x:c r="F65" s="9" t="n">
        <x:v>24</x:v>
      </x:c>
    </x:row>
    <x:row r="66" ht="22" customHeight="1">
      <x:c r="A66" s="7" t="str">
        <x:v>TU-0065</x:v>
      </x:c>
      <x:c r="B66" s="8" t="n">
        <x:v>46311</x:v>
      </x:c>
      <x:c r="C66" s="7" t="str">
        <x:v> logistics </x:v>
      </x:c>
      <x:c r="D66" s="9" t="n">
        <x:v>0.75</x:v>
      </x:c>
      <x:c r="E66" s="9" t="n">
        <x:v>40</x:v>
      </x:c>
      <x:c r="F66" s="9" t="n">
        <x:v>48</x:v>
      </x:c>
    </x:row>
    <x:row r="67" ht="22" customHeight="1">
      <x:c r="A67" s="7" t="str">
        <x:v>TU-0066</x:v>
      </x:c>
      <x:c r="B67" s="8" t="n">
        <x:v>46307</x:v>
      </x:c>
      <x:c r="C67" s="7" t="str">
        <x:v>FIELD</x:v>
      </x:c>
      <x:c r="D67" s="9" t="n">
        <x:v>1</x:v>
      </x:c>
      <x:c r="E67" s="9" t="n">
        <x:v>6</x:v>
      </x:c>
      <x:c r="F67" s="9" t="n">
        <x:v>48</x:v>
      </x:c>
    </x:row>
    <x:row r="68" ht="22" customHeight="1">
      <x:c r="A68" s="7" t="str">
        <x:v>TU-0067</x:v>
      </x:c>
      <x:c r="B68" s="8" t="n">
        <x:v>46308</x:v>
      </x:c>
      <x:c r="C68" s="7" t="str">
        <x:v>SUPPORT</x:v>
      </x:c>
      <x:c r="D68" s="9" t="n">
        <x:v>1.25</x:v>
      </x:c>
      <x:c r="E68" s="9" t="n">
        <x:v>13</x:v>
      </x:c>
      <x:c r="F68" s="9" t="n">
        <x:v>24</x:v>
      </x:c>
    </x:row>
    <x:row r="69" ht="22" customHeight="1">
      <x:c r="A69" s="7" t="str">
        <x:v>TU-0068</x:v>
      </x:c>
      <x:c r="B69" s="8" t="n">
        <x:v>46309</x:v>
      </x:c>
      <x:c r="C69" s="7" t="str">
        <x:v>LOGISTICS</x:v>
      </x:c>
      <x:c r="D69" s="9" t="n">
        <x:v>1.5</x:v>
      </x:c>
      <x:c r="E69" s="9" t="n">
        <x:v>20</x:v>
      </x:c>
      <x:c r="F69" s="9" t="n">
        <x:v>48</x:v>
      </x:c>
    </x:row>
    <x:row r="70" ht="22" customHeight="1">
      <x:c r="A70" s="7" t="str">
        <x:v>TU-0069</x:v>
      </x:c>
      <x:c r="B70" s="8" t="n">
        <x:v>46310</x:v>
      </x:c>
      <x:c r="C70" s="7" t="str">
        <x:v> field </x:v>
      </x:c>
      <x:c r="D70" s="9" t="n">
        <x:v>1.75</x:v>
      </x:c>
      <x:c r="E70" s="9" t="n">
        <x:v>27</x:v>
      </x:c>
      <x:c r="F70" s="9" t="n">
        <x:v>48</x:v>
      </x:c>
    </x:row>
    <x:row r="71" ht="22" customHeight="1">
      <x:c r="A71" s="7" t="str">
        <x:v>TU-0070</x:v>
      </x:c>
      <x:c r="B71" s="8" t="n">
        <x:v>46311</x:v>
      </x:c>
      <x:c r="C71" s="7" t="str">
        <x:v>SUPPORT</x:v>
      </x:c>
      <x:c r="D71" s="9" t="n">
        <x:v>2</x:v>
      </x:c>
      <x:c r="E71" s="9" t="n">
        <x:v>34</x:v>
      </x:c>
      <x:c r="F71" s="9" t="n">
        <x:v>24</x:v>
      </x:c>
    </x:row>
    <x:row r="72" ht="22" customHeight="1">
      <x:c r="A72" s="7" t="str">
        <x:v>TU-0071</x:v>
      </x:c>
      <x:c r="B72" s="8" t="n">
        <x:v>46307</x:v>
      </x:c>
      <x:c r="C72" s="7" t="str">
        <x:v>LOGISTICS</x:v>
      </x:c>
      <x:c r="D72" s="9" t="n">
        <x:v>2.25</x:v>
      </x:c>
      <x:c r="E72" s="9" t="n">
        <x:v>41</x:v>
      </x:c>
      <x:c r="F72" s="9" t="n">
        <x:v>48</x:v>
      </x:c>
    </x:row>
    <x:row r="73" ht="22" customHeight="1">
      <x:c r="A73" s="7" t="str">
        <x:v>TU-0072</x:v>
      </x:c>
      <x:c r="B73" s="8" t="n">
        <x:v>46308</x:v>
      </x:c>
      <x:c r="C73" s="7" t="str">
        <x:v>FIELD</x:v>
      </x:c>
      <x:c r="D73" s="9" t="n">
        <x:v>2.5</x:v>
      </x:c>
      <x:c r="E73" s="9" t="n">
        <x:v>7</x:v>
      </x:c>
      <x:c r="F73" s="9" t="n">
        <x:v>48</x:v>
      </x:c>
    </x:row>
    <x:row r="74" ht="22" customHeight="1">
      <x:c r="A74" s="7" t="str">
        <x:v>TU-0073</x:v>
      </x:c>
      <x:c r="B74" s="8" t="n">
        <x:v>46316</x:v>
      </x:c>
      <x:c r="C74" s="7" t="str">
        <x:v> support </x:v>
      </x:c>
      <x:c r="D74" s="9" t="n">
        <x:v>0.5</x:v>
      </x:c>
      <x:c r="E74" s="9" t="n">
        <x:v>14</x:v>
      </x:c>
      <x:c r="F74" s="9" t="n">
        <x:v>24</x:v>
      </x:c>
    </x:row>
    <x:row r="75" ht="22" customHeight="1">
      <x:c r="A75" s="7" t="str">
        <x:v>TU-0074</x:v>
      </x:c>
      <x:c r="B75" s="8" t="n">
        <x:v>46317</x:v>
      </x:c>
      <x:c r="C75" s="7" t="str">
        <x:v>LOGISTICS</x:v>
      </x:c>
      <x:c r="D75" s="9" t="n">
        <x:v>0.75</x:v>
      </x:c>
      <x:c r="E75" s="9" t="n">
        <x:v>21</x:v>
      </x:c>
      <x:c r="F75" s="9" t="n">
        <x:v>48</x:v>
      </x:c>
    </x:row>
    <x:row r="76" ht="22" customHeight="1">
      <x:c r="A76" s="7" t="str">
        <x:v>TU-0075</x:v>
      </x:c>
      <x:c r="B76" s="8" t="n">
        <x:v>46318</x:v>
      </x:c>
      <x:c r="C76" s="7" t="str">
        <x:v>FIELD</x:v>
      </x:c>
      <x:c r="D76" s="9" t="n">
        <x:v>1</x:v>
      </x:c>
      <x:c r="E76" s="9" t="n">
        <x:v>28</x:v>
      </x:c>
      <x:c r="F76" s="9" t="n">
        <x:v>48</x:v>
      </x:c>
    </x:row>
    <x:row r="77" ht="22" customHeight="1">
      <x:c r="A77" s="7" t="str">
        <x:v>TU-0076</x:v>
      </x:c>
      <x:c r="B77" s="8" t="n">
        <x:v>46314</x:v>
      </x:c>
      <x:c r="C77" s="7" t="str">
        <x:v>SUPPORT</x:v>
      </x:c>
      <x:c r="D77" s="9" t="n">
        <x:v>1.25</x:v>
      </x:c>
      <x:c r="E77" s="9" t="n">
        <x:v>35</x:v>
      </x:c>
      <x:c r="F77" s="9" t="n">
        <x:v>24</x:v>
      </x:c>
    </x:row>
    <x:row r="78" ht="22" customHeight="1">
      <x:c r="A78" s="7" t="str">
        <x:v>TU-0077</x:v>
      </x:c>
      <x:c r="B78" s="8" t="n">
        <x:v>46315</x:v>
      </x:c>
      <x:c r="C78" s="7" t="str">
        <x:v> logistics </x:v>
      </x:c>
      <x:c r="D78" s="9" t="n">
        <x:v>1.5</x:v>
      </x:c>
      <x:c r="E78" s="9" t="n">
        <x:v>42</x:v>
      </x:c>
      <x:c r="F78" s="9" t="n">
        <x:v>48</x:v>
      </x:c>
    </x:row>
    <x:row r="79" ht="22" customHeight="1">
      <x:c r="A79" s="7" t="str">
        <x:v>TU-0078</x:v>
      </x:c>
      <x:c r="B79" s="8" t="n">
        <x:v>46316</x:v>
      </x:c>
      <x:c r="C79" s="7" t="str">
        <x:v>FIELD</x:v>
      </x:c>
      <x:c r="D79" s="9" t="n">
        <x:v>1.75</x:v>
      </x:c>
      <x:c r="E79" s="9" t="n">
        <x:v>8</x:v>
      </x:c>
      <x:c r="F79" s="9" t="n">
        <x:v>48</x:v>
      </x:c>
    </x:row>
    <x:row r="80" ht="22" customHeight="1">
      <x:c r="A80" s="7" t="str">
        <x:v>TU-0079</x:v>
      </x:c>
      <x:c r="B80" s="8" t="n">
        <x:v>46317</x:v>
      </x:c>
      <x:c r="C80" s="7" t="str">
        <x:v>SUPPORT</x:v>
      </x:c>
      <x:c r="D80" s="9" t="n">
        <x:v>2</x:v>
      </x:c>
      <x:c r="E80" s="9" t="n">
        <x:v>15</x:v>
      </x:c>
      <x:c r="F80" s="9" t="n">
        <x:v>24</x:v>
      </x:c>
    </x:row>
    <x:row r="81" ht="22" customHeight="1">
      <x:c r="A81" s="7" t="str">
        <x:v>TU-0080</x:v>
      </x:c>
      <x:c r="B81" s="8" t="n">
        <x:v>46318</x:v>
      </x:c>
      <x:c r="C81" s="7" t="str">
        <x:v>LOGISTICS</x:v>
      </x:c>
      <x:c r="D81" s="9" t="n">
        <x:v>2.25</x:v>
      </x:c>
      <x:c r="E81" s="9" t="n">
        <x:v>22</x:v>
      </x:c>
      <x:c r="F81" s="9" t="n">
        <x:v>48</x:v>
      </x:c>
    </x:row>
    <x:row r="82" ht="22" customHeight="1">
      <x:c r="A82" s="7" t="str">
        <x:v>TU-0081</x:v>
      </x:c>
      <x:c r="B82" s="8" t="n">
        <x:v>46314</x:v>
      </x:c>
      <x:c r="C82" s="7" t="str">
        <x:v> field </x:v>
      </x:c>
      <x:c r="D82" s="9" t="n">
        <x:v>2.5</x:v>
      </x:c>
      <x:c r="E82" s="9" t="n">
        <x:v>29</x:v>
      </x:c>
      <x:c r="F82" s="9" t="n">
        <x:v>48</x:v>
      </x:c>
    </x:row>
    <x:row r="83" ht="22" customHeight="1">
      <x:c r="A83" s="7" t="str">
        <x:v>TU-0082</x:v>
      </x:c>
      <x:c r="B83" s="8" t="n">
        <x:v>46315</x:v>
      </x:c>
      <x:c r="C83" s="7" t="str">
        <x:v>SUPPORT</x:v>
      </x:c>
      <x:c r="D83" s="9" t="n">
        <x:v>0.5</x:v>
      </x:c>
      <x:c r="E83" s="9" t="n">
        <x:v>36</x:v>
      </x:c>
      <x:c r="F83" s="9" t="n">
        <x:v>24</x:v>
      </x:c>
    </x:row>
    <x:row r="84" ht="22" customHeight="1">
      <x:c r="A84" s="7" t="str">
        <x:v>TU-0083</x:v>
      </x:c>
      <x:c r="B84" s="8" t="n">
        <x:v>46316</x:v>
      </x:c>
      <x:c r="C84" s="7" t="str">
        <x:v>LOGISTICS</x:v>
      </x:c>
      <x:c r="D84" s="9" t="n">
        <x:v>0.75</x:v>
      </x:c>
      <x:c r="E84" s="9" t="n">
        <x:v>2</x:v>
      </x:c>
      <x:c r="F84" s="9" t="n">
        <x:v>48</x:v>
      </x:c>
    </x:row>
    <x:row r="85" ht="22" customHeight="1">
      <x:c r="A85" s="7" t="str">
        <x:v>TU-0084</x:v>
      </x:c>
      <x:c r="B85" s="8" t="n">
        <x:v>46317</x:v>
      </x:c>
      <x:c r="C85" s="7" t="str">
        <x:v>FIELD</x:v>
      </x:c>
      <x:c r="D85" s="9" t="n">
        <x:v>1</x:v>
      </x:c>
      <x:c r="E85" s="9" t="n">
        <x:v>9</x:v>
      </x:c>
      <x:c r="F85" s="9" t="n">
        <x:v>48</x:v>
      </x:c>
    </x:row>
    <x:row r="86" ht="22" customHeight="1">
      <x:c r="A86" s="7" t="str">
        <x:v>TU-0085</x:v>
      </x:c>
      <x:c r="B86" s="8" t="n">
        <x:v>46318</x:v>
      </x:c>
      <x:c r="C86" s="7" t="str">
        <x:v> support </x:v>
      </x:c>
      <x:c r="D86" s="9" t="n">
        <x:v>1.25</x:v>
      </x:c>
      <x:c r="E86" s="9" t="n">
        <x:v>16</x:v>
      </x:c>
      <x:c r="F86" s="9" t="n">
        <x:v>24</x:v>
      </x:c>
    </x:row>
    <x:row r="87" ht="22" customHeight="1">
      <x:c r="A87" s="7" t="str">
        <x:v>TU-0086</x:v>
      </x:c>
      <x:c r="B87" s="8" t="n">
        <x:v>46314</x:v>
      </x:c>
      <x:c r="C87" s="7" t="str">
        <x:v>LOGISTICS</x:v>
      </x:c>
      <x:c r="D87" s="9" t="n">
        <x:v>1.5</x:v>
      </x:c>
      <x:c r="E87" s="9" t="n">
        <x:v>23</x:v>
      </x:c>
      <x:c r="F87" s="9" t="n">
        <x:v>48</x:v>
      </x:c>
    </x:row>
    <x:row r="88" ht="22" customHeight="1">
      <x:c r="A88" s="7" t="str">
        <x:v>TU-0087</x:v>
      </x:c>
      <x:c r="B88" s="8" t="n">
        <x:v>46315</x:v>
      </x:c>
      <x:c r="C88" s="7" t="str">
        <x:v>FIELD</x:v>
      </x:c>
      <x:c r="D88" s="9" t="n">
        <x:v>1.75</x:v>
      </x:c>
      <x:c r="E88" s="9" t="n">
        <x:v>30</x:v>
      </x:c>
      <x:c r="F88" s="9" t="n">
        <x:v>48</x:v>
      </x:c>
    </x:row>
    <x:row r="89" ht="22" customHeight="1">
      <x:c r="A89" s="7" t="str">
        <x:v>TU-0088</x:v>
      </x:c>
      <x:c r="B89" s="8" t="n">
        <x:v>46316</x:v>
      </x:c>
      <x:c r="C89" s="7" t="str">
        <x:v>SUPPORT</x:v>
      </x:c>
      <x:c r="D89" s="9" t="n">
        <x:v>2</x:v>
      </x:c>
      <x:c r="E89" s="9" t="n">
        <x:v>37</x:v>
      </x:c>
      <x:c r="F89" s="9" t="n">
        <x:v>24</x:v>
      </x:c>
    </x:row>
    <x:row r="90" ht="22" customHeight="1">
      <x:c r="A90" s="7" t="str">
        <x:v>TU-0089</x:v>
      </x:c>
      <x:c r="B90" s="8" t="n">
        <x:v>46317</x:v>
      </x:c>
      <x:c r="C90" s="7" t="str">
        <x:v> logistics </x:v>
      </x:c>
      <x:c r="D90" s="9" t="n">
        <x:v>2.25</x:v>
      </x:c>
      <x:c r="E90" s="9" t="n">
        <x:v>3</x:v>
      </x:c>
      <x:c r="F90" s="9" t="n">
        <x:v>48</x:v>
      </x:c>
    </x:row>
    <x:row r="91" ht="22" customHeight="1">
      <x:c r="A91" s="7" t="str">
        <x:v>TU-0090</x:v>
      </x:c>
      <x:c r="B91" s="8" t="n">
        <x:v>46318</x:v>
      </x:c>
      <x:c r="C91" s="7" t="str">
        <x:v>FIELD</x:v>
      </x:c>
      <x:c r="D91" s="9" t="n">
        <x:v>2.5</x:v>
      </x:c>
      <x:c r="E91" s="9" t="n">
        <x:v>10</x:v>
      </x:c>
      <x:c r="F91" s="9" t="n">
        <x:v>48</x:v>
      </x:c>
    </x:row>
    <x:row r="92" ht="22" customHeight="1">
      <x:c r="A92" s="7" t="str">
        <x:v>TU-0091</x:v>
      </x:c>
      <x:c r="B92" s="8" t="n">
        <x:v>46314</x:v>
      </x:c>
      <x:c r="C92" s="7" t="str">
        <x:v>SUPPORT</x:v>
      </x:c>
      <x:c r="D92" s="9" t="n">
        <x:v>0.5</x:v>
      </x:c>
      <x:c r="E92" s="9" t="n">
        <x:v>17</x:v>
      </x:c>
      <x:c r="F92" s="9" t="n">
        <x:v>24</x:v>
      </x:c>
    </x:row>
    <x:row r="93" ht="22" customHeight="1">
      <x:c r="A93" s="7" t="str">
        <x:v>TU-0092</x:v>
      </x:c>
      <x:c r="B93" s="8" t="n">
        <x:v>46315</x:v>
      </x:c>
      <x:c r="C93" s="7" t="str">
        <x:v>LOGISTICS</x:v>
      </x:c>
      <x:c r="D93" s="9" t="n">
        <x:v>0.75</x:v>
      </x:c>
      <x:c r="E93" s="9" t="n">
        <x:v>24</x:v>
      </x:c>
      <x:c r="F93" s="9" t="n">
        <x:v>48</x:v>
      </x:c>
    </x:row>
    <x:row r="94" ht="22" customHeight="1">
      <x:c r="A94" s="7" t="str">
        <x:v>TU-0093</x:v>
      </x:c>
      <x:c r="B94" s="8" t="n">
        <x:v>46316</x:v>
      </x:c>
      <x:c r="C94" s="7" t="str">
        <x:v> field </x:v>
      </x:c>
      <x:c r="D94" s="9" t="n">
        <x:v>1</x:v>
      </x:c>
      <x:c r="E94" s="9" t="n">
        <x:v>31</x:v>
      </x:c>
      <x:c r="F94" s="9" t="n">
        <x:v>48</x:v>
      </x:c>
    </x:row>
    <x:row r="95" ht="22" customHeight="1">
      <x:c r="A95" s="7" t="str">
        <x:v>TU-0094</x:v>
      </x:c>
      <x:c r="B95" s="8" t="n">
        <x:v>46317</x:v>
      </x:c>
      <x:c r="C95" s="7" t="str">
        <x:v>SUPPORT</x:v>
      </x:c>
      <x:c r="D95" s="9" t="n">
        <x:v>1.25</x:v>
      </x:c>
      <x:c r="E95" s="9" t="n">
        <x:v>38</x:v>
      </x:c>
      <x:c r="F95" s="9" t="n">
        <x:v>24</x:v>
      </x:c>
    </x:row>
    <x:row r="96" ht="22" customHeight="1">
      <x:c r="A96" s="7" t="str">
        <x:v>TU-0095</x:v>
      </x:c>
      <x:c r="B96" s="8" t="n">
        <x:v>46318</x:v>
      </x:c>
      <x:c r="C96" s="7" t="str">
        <x:v>LOGISTICS</x:v>
      </x:c>
      <x:c r="D96" s="9" t="n">
        <x:v>1.5</x:v>
      </x:c>
      <x:c r="E96" s="9" t="n">
        <x:v>4</x:v>
      </x:c>
      <x:c r="F96" s="9" t="n">
        <x:v>48</x:v>
      </x:c>
    </x:row>
    <x:row r="97" ht="22" customHeight="1">
      <x:c r="A97" s="7" t="str">
        <x:v>TU-0096</x:v>
      </x:c>
      <x:c r="B97" s="8" t="n">
        <x:v>46314</x:v>
      </x:c>
      <x:c r="C97" s="7" t="str">
        <x:v>FIELD</x:v>
      </x:c>
      <x:c r="D97" s="9" t="n">
        <x:v>1.75</x:v>
      </x:c>
      <x:c r="E97" s="9" t="n">
        <x:v>11</x:v>
      </x:c>
      <x:c r="F97" s="9" t="n">
        <x:v>48</x:v>
      </x:c>
    </x:row>
    <x:row r="98" ht="22" customHeight="1">
      <x:c r="A98" s="7" t="str">
        <x:v>TU-0041</x:v>
      </x:c>
      <x:c r="B98" s="8" t="n">
        <x:v>46300</x:v>
      </x:c>
      <x:c r="C98" s="7" t="str">
        <x:v> logistics </x:v>
      </x:c>
      <x:c r="D98" s="9" t="n">
        <x:v>1.5</x:v>
      </x:c>
      <x:c r="E98" s="9" t="n">
        <x:v>36</x:v>
      </x:c>
      <x:c r="F98" s="9" t="n">
        <x:v>48</x:v>
      </x:c>
    </x:row>
    <x:row r="99" ht="22" customHeight="1">
      <x:c r="A99" s="7"/>
      <x:c r="B99" s="8"/>
      <x:c r="C99" s="7"/>
      <x:c r="D99" s="9"/>
      <x:c r="E99" s="9"/>
      <x:c r="F99" s="9"/>
    </x:row>
    <x:row r="100" ht="22" customHeight="1">
      <x:c r="A100" s="7"/>
      <x:c r="B100" s="8"/>
      <x:c r="C100" s="7"/>
      <x:c r="D100" s="9"/>
      <x:c r="E100" s="9"/>
      <x:c r="F100" s="9"/>
    </x:row>
    <x:row r="101" ht="22" customHeight="1">
      <x:c r="A101" s="7"/>
      <x:c r="B101" s="8"/>
      <x:c r="C101" s="7"/>
      <x:c r="D101" s="9"/>
      <x:c r="E101" s="9"/>
      <x:c r="F101" s="9"/>
    </x:row>
    <x:row r="102" ht="22" customHeight="1">
      <x:c r="A102" s="7"/>
      <x:c r="B102" s="8"/>
      <x:c r="C102" s="7"/>
      <x:c r="D102" s="9"/>
      <x:c r="E102" s="9"/>
      <x:c r="F102" s="9"/>
    </x:row>
    <x:row r="103" ht="22" customHeight="1">
      <x:c r="A103" s="7"/>
      <x:c r="B103" s="8"/>
      <x:c r="C103" s="7"/>
      <x:c r="D103" s="9"/>
      <x:c r="E103" s="9"/>
      <x:c r="F103" s="9"/>
    </x:row>
    <x:row r="104" ht="22" customHeight="1">
      <x:c r="A104" s="7"/>
      <x:c r="B104" s="8"/>
      <x:c r="C104" s="7"/>
      <x:c r="D104" s="9"/>
      <x:c r="E104" s="9"/>
      <x:c r="F104" s="9"/>
    </x:row>
    <x:row r="105" ht="22" customHeight="1">
      <x:c r="A105" s="7"/>
      <x:c r="B105" s="8"/>
      <x:c r="C105" s="7"/>
      <x:c r="D105" s="9"/>
      <x:c r="E105" s="9"/>
      <x:c r="F105" s="9"/>
    </x:row>
    <x:row r="106" ht="22" customHeight="1">
      <x:c r="A106" s="7"/>
      <x:c r="B106" s="8"/>
      <x:c r="C106" s="7"/>
      <x:c r="D106" s="9"/>
      <x:c r="E106" s="9"/>
      <x:c r="F106" s="9"/>
    </x:row>
    <x:row r="107" ht="22" customHeight="1">
      <x:c r="A107" s="7"/>
      <x:c r="B107" s="8"/>
      <x:c r="C107" s="7"/>
      <x:c r="D107" s="9"/>
      <x:c r="E107" s="9"/>
      <x:c r="F107" s="9"/>
    </x:row>
    <x:row r="108" ht="22" customHeight="1">
      <x:c r="A108" s="7"/>
      <x:c r="B108" s="8"/>
      <x:c r="C108" s="7"/>
      <x:c r="D108" s="9"/>
      <x:c r="E108" s="9"/>
      <x:c r="F108" s="9"/>
    </x:row>
    <x:row r="109" ht="22" customHeight="1">
      <x:c r="A109" s="7"/>
      <x:c r="B109" s="8"/>
      <x:c r="C109" s="7"/>
      <x:c r="D109" s="9"/>
      <x:c r="E109" s="9"/>
      <x:c r="F109" s="9"/>
    </x:row>
    <x:row r="110" ht="22" customHeight="1">
      <x:c r="A110" s="7"/>
      <x:c r="B110" s="8"/>
      <x:c r="C110" s="7"/>
      <x:c r="D110" s="9"/>
      <x:c r="E110" s="9"/>
      <x:c r="F110" s="9"/>
    </x:row>
    <x:row r="111" ht="22" customHeight="1">
      <x:c r="A111" s="7"/>
      <x:c r="B111" s="8"/>
      <x:c r="C111" s="7"/>
      <x:c r="D111" s="9"/>
      <x:c r="E111" s="9"/>
      <x:c r="F111" s="9"/>
    </x:row>
    <x:row r="112" ht="22" customHeight="1">
      <x:c r="A112" s="7"/>
      <x:c r="B112" s="8"/>
      <x:c r="C112" s="7"/>
      <x:c r="D112" s="9"/>
      <x:c r="E112" s="9"/>
      <x:c r="F112" s="9"/>
    </x:row>
    <x:row r="113" ht="22" customHeight="1">
      <x:c r="A113" s="7"/>
      <x:c r="B113" s="8"/>
      <x:c r="C113" s="7"/>
      <x:c r="D113" s="9"/>
      <x:c r="E113" s="9"/>
      <x:c r="F113" s="9"/>
    </x:row>
    <x:row r="114" ht="22" customHeight="1">
      <x:c r="A114" s="7"/>
      <x:c r="B114" s="8"/>
      <x:c r="C114" s="7"/>
      <x:c r="D114" s="9"/>
      <x:c r="E114" s="9"/>
      <x:c r="F114" s="9"/>
    </x:row>
    <x:row r="115" ht="22" customHeight="1">
      <x:c r="A115" s="7"/>
      <x:c r="B115" s="8"/>
      <x:c r="C115" s="7"/>
      <x:c r="D115" s="9"/>
      <x:c r="E115" s="9"/>
      <x:c r="F115" s="9"/>
    </x:row>
    <x:row r="116" ht="22" customHeight="1">
      <x:c r="A116" s="7"/>
      <x:c r="B116" s="8"/>
      <x:c r="C116" s="7"/>
      <x:c r="D116" s="9"/>
      <x:c r="E116" s="9"/>
      <x:c r="F116" s="9"/>
    </x:row>
    <x:row r="117" ht="22" customHeight="1">
      <x:c r="A117" s="7"/>
      <x:c r="B117" s="8"/>
      <x:c r="C117" s="7"/>
      <x:c r="D117" s="9"/>
      <x:c r="E117" s="9"/>
      <x:c r="F117" s="9"/>
    </x:row>
    <x:row r="118" ht="22" customHeight="1">
      <x:c r="A118" s="7"/>
      <x:c r="B118" s="8"/>
      <x:c r="C118" s="7"/>
      <x:c r="D118" s="9"/>
      <x:c r="E118" s="9"/>
      <x:c r="F118" s="9"/>
    </x:row>
    <x:row r="119" ht="22" customHeight="1">
      <x:c r="A119" s="7"/>
      <x:c r="B119" s="8"/>
      <x:c r="C119" s="7"/>
      <x:c r="D119" s="9"/>
      <x:c r="E119" s="9"/>
      <x:c r="F119" s="9"/>
    </x:row>
    <x:row r="120" ht="22" customHeight="1">
      <x:c r="A120" s="7"/>
      <x:c r="B120" s="8"/>
      <x:c r="C120" s="7"/>
      <x:c r="D120" s="9"/>
      <x:c r="E120" s="9"/>
      <x:c r="F120" s="9"/>
    </x:row>
    <x:row r="121" ht="22" customHeight="1">
      <x:c r="A121" s="7"/>
      <x:c r="B121" s="8"/>
      <x:c r="C121" s="7"/>
      <x:c r="D121" s="9"/>
      <x:c r="E121" s="9"/>
      <x:c r="F121" s="9"/>
    </x:row>
    <x:row r="122" ht="22" customHeight="1">
      <x:c r="A122" s="7"/>
      <x:c r="B122" s="8"/>
      <x:c r="C122" s="7"/>
      <x:c r="D122" s="9"/>
      <x:c r="E122" s="9"/>
      <x:c r="F122" s="9"/>
    </x:row>
    <x:row r="123" ht="22" customHeight="1">
      <x:c r="A123" s="7"/>
      <x:c r="B123" s="8"/>
      <x:c r="C123" s="7"/>
      <x:c r="D123" s="9"/>
      <x:c r="E123" s="9"/>
      <x:c r="F123" s="9"/>
    </x:row>
    <x:row r="124" ht="22" customHeight="1">
      <x:c r="A124" s="7"/>
      <x:c r="B124" s="8"/>
      <x:c r="C124" s="7"/>
      <x:c r="D124" s="9"/>
      <x:c r="E124" s="9"/>
      <x:c r="F124" s="9"/>
    </x:row>
    <x:row r="125" ht="22" customHeight="1">
      <x:c r="A125" s="7"/>
      <x:c r="B125" s="8"/>
      <x:c r="C125" s="7"/>
      <x:c r="D125" s="9"/>
      <x:c r="E125" s="9"/>
      <x:c r="F125" s="9"/>
    </x:row>
    <x:row r="126" ht="22" customHeight="1">
      <x:c r="A126" s="7"/>
      <x:c r="B126" s="8"/>
      <x:c r="C126" s="7"/>
      <x:c r="D126" s="9"/>
      <x:c r="E126" s="9"/>
      <x:c r="F126" s="9"/>
    </x:row>
    <x:row r="127" ht="22" customHeight="1">
      <x:c r="A127" s="7"/>
      <x:c r="B127" s="8"/>
      <x:c r="C127" s="7"/>
      <x:c r="D127" s="9"/>
      <x:c r="E127" s="9"/>
      <x:c r="F127" s="9"/>
    </x:row>
    <x:row r="128" ht="22" customHeight="1">
      <x:c r="A128" s="7"/>
      <x:c r="B128" s="8"/>
      <x:c r="C128" s="7"/>
      <x:c r="D128" s="9"/>
      <x:c r="E128" s="9"/>
      <x:c r="F128" s="9"/>
    </x:row>
    <x:row r="129" ht="22" customHeight="1">
      <x:c r="A129" s="7"/>
      <x:c r="B129" s="8"/>
      <x:c r="C129" s="7"/>
      <x:c r="D129" s="9"/>
      <x:c r="E129" s="9"/>
      <x:c r="F129" s="9"/>
    </x:row>
    <x:row r="130" ht="22" customHeight="1">
      <x:c r="A130" s="7"/>
      <x:c r="B130" s="8"/>
      <x:c r="C130" s="7"/>
      <x:c r="D130" s="9"/>
      <x:c r="E130" s="9"/>
      <x:c r="F130" s="9"/>
    </x:row>
    <x:row r="131" ht="22" customHeight="1">
      <x:c r="A131" s="7"/>
      <x:c r="B131" s="8"/>
      <x:c r="C131" s="7"/>
      <x:c r="D131" s="9"/>
      <x:c r="E131" s="9"/>
      <x:c r="F131" s="9"/>
    </x:row>
    <x:row r="132" ht="22" customHeight="1">
      <x:c r="A132" s="7"/>
      <x:c r="B132" s="8"/>
      <x:c r="C132" s="7"/>
      <x:c r="D132" s="9"/>
      <x:c r="E132" s="9"/>
      <x:c r="F132" s="9"/>
    </x:row>
    <x:row r="133" ht="22" customHeight="1">
      <x:c r="A133" s="7"/>
      <x:c r="B133" s="8"/>
      <x:c r="C133" s="7"/>
      <x:c r="D133" s="9"/>
      <x:c r="E133" s="9"/>
      <x:c r="F133" s="9"/>
    </x:row>
    <x:row r="134" ht="22" customHeight="1">
      <x:c r="A134" s="7"/>
      <x:c r="B134" s="8"/>
      <x:c r="C134" s="7"/>
      <x:c r="D134" s="9"/>
      <x:c r="E134" s="9"/>
      <x:c r="F134" s="9"/>
    </x:row>
    <x:row r="135" ht="22" customHeight="1">
      <x:c r="A135" s="7"/>
      <x:c r="B135" s="8"/>
      <x:c r="C135" s="7"/>
      <x:c r="D135" s="9"/>
      <x:c r="E135" s="9"/>
      <x:c r="F135" s="9"/>
    </x:row>
    <x:row r="136" ht="22" customHeight="1">
      <x:c r="A136" s="7"/>
      <x:c r="B136" s="8"/>
      <x:c r="C136" s="7"/>
      <x:c r="D136" s="9"/>
      <x:c r="E136" s="9"/>
      <x:c r="F136" s="9"/>
    </x:row>
    <x:row r="137" ht="22" customHeight="1">
      <x:c r="A137" s="7"/>
      <x:c r="B137" s="8"/>
      <x:c r="C137" s="7"/>
      <x:c r="D137" s="9"/>
      <x:c r="E137" s="9"/>
      <x:c r="F137" s="9"/>
    </x:row>
    <x:row r="138" ht="22" customHeight="1">
      <x:c r="A138" s="7"/>
      <x:c r="B138" s="8"/>
      <x:c r="C138" s="7"/>
      <x:c r="D138" s="9"/>
      <x:c r="E138" s="9"/>
      <x:c r="F138" s="9"/>
    </x:row>
    <x:row r="139" ht="22" customHeight="1">
      <x:c r="A139" s="7"/>
      <x:c r="B139" s="8"/>
      <x:c r="C139" s="7"/>
      <x:c r="D139" s="9"/>
      <x:c r="E139" s="9"/>
      <x:c r="F139" s="9"/>
    </x:row>
    <x:row r="140" ht="22" customHeight="1">
      <x:c r="A140" s="7"/>
      <x:c r="B140" s="8"/>
      <x:c r="C140" s="7"/>
      <x:c r="D140" s="9"/>
      <x:c r="E140" s="9"/>
      <x:c r="F140" s="9"/>
    </x:row>
    <x:row r="141" ht="22" customHeight="1">
      <x:c r="A141" s="7"/>
      <x:c r="B141" s="8"/>
      <x:c r="C141" s="7"/>
      <x:c r="D141" s="9"/>
      <x:c r="E141" s="9"/>
      <x:c r="F141" s="9"/>
    </x:row>
    <x:row r="142" ht="22" customHeight="1">
      <x:c r="A142" s="7"/>
      <x:c r="B142" s="8"/>
      <x:c r="C142" s="7"/>
      <x:c r="D142" s="9"/>
      <x:c r="E142" s="9"/>
      <x:c r="F142" s="9"/>
    </x:row>
    <x:row r="143" ht="22" customHeight="1">
      <x:c r="A143" s="7"/>
      <x:c r="B143" s="8"/>
      <x:c r="C143" s="7"/>
      <x:c r="D143" s="9"/>
      <x:c r="E143" s="9"/>
      <x:c r="F143" s="9"/>
    </x:row>
    <x:row r="144" ht="22" customHeight="1">
      <x:c r="A144" s="7"/>
      <x:c r="B144" s="8"/>
      <x:c r="C144" s="7"/>
      <x:c r="D144" s="9"/>
      <x:c r="E144" s="9"/>
      <x:c r="F144" s="9"/>
    </x:row>
    <x:row r="145" ht="22" customHeight="1">
      <x:c r="A145" s="7"/>
      <x:c r="B145" s="8"/>
      <x:c r="C145" s="7"/>
      <x:c r="D145" s="9"/>
      <x:c r="E145" s="9"/>
      <x:c r="F145" s="9"/>
    </x:row>
    <x:row r="146" ht="22" customHeight="1">
      <x:c r="A146" s="7"/>
      <x:c r="B146" s="8"/>
      <x:c r="C146" s="7"/>
      <x:c r="D146" s="9"/>
      <x:c r="E146" s="9"/>
      <x:c r="F146" s="9"/>
    </x:row>
    <x:row r="147" ht="22" customHeight="1">
      <x:c r="A147" s="7"/>
      <x:c r="B147" s="8"/>
      <x:c r="C147" s="7"/>
      <x:c r="D147" s="9"/>
      <x:c r="E147" s="9"/>
      <x:c r="F147" s="9"/>
    </x:row>
    <x:row r="148" ht="22" customHeight="1">
      <x:c r="A148" s="7"/>
      <x:c r="B148" s="8"/>
      <x:c r="C148" s="7"/>
      <x:c r="D148" s="9"/>
      <x:c r="E148" s="9"/>
      <x:c r="F148" s="9"/>
    </x:row>
    <x:row r="149" ht="22" customHeight="1">
      <x:c r="A149" s="7"/>
      <x:c r="B149" s="8"/>
      <x:c r="C149" s="7"/>
      <x:c r="D149" s="9"/>
      <x:c r="E149" s="9"/>
      <x:c r="F149" s="9"/>
    </x:row>
    <x:row r="150" ht="22" customHeight="1">
      <x:c r="A150" s="7"/>
      <x:c r="B150" s="8"/>
      <x:c r="C150" s="7"/>
      <x:c r="D150" s="9"/>
      <x:c r="E150" s="9"/>
      <x:c r="F150" s="9"/>
    </x:row>
    <x:row r="151" ht="22" customHeight="1">
      <x:c r="A151" s="7"/>
      <x:c r="B151" s="8"/>
      <x:c r="C151" s="7"/>
      <x:c r="D151" s="9"/>
      <x:c r="E151" s="9"/>
      <x:c r="F151" s="9"/>
    </x:row>
    <x:row r="152" ht="22" customHeight="1">
      <x:c r="A152" s="7"/>
      <x:c r="B152" s="8"/>
      <x:c r="C152" s="7"/>
      <x:c r="D152" s="9"/>
      <x:c r="E152" s="9"/>
      <x:c r="F152" s="9"/>
    </x:row>
    <x:row r="153" ht="22" customHeight="1">
      <x:c r="A153" s="7"/>
      <x:c r="B153" s="8"/>
      <x:c r="C153" s="7"/>
      <x:c r="D153" s="9"/>
      <x:c r="E153" s="9"/>
      <x:c r="F153" s="9"/>
    </x:row>
    <x:row r="154" ht="22" customHeight="1">
      <x:c r="A154" s="7"/>
      <x:c r="B154" s="8"/>
      <x:c r="C154" s="7"/>
      <x:c r="D154" s="9"/>
      <x:c r="E154" s="9"/>
      <x:c r="F154" s="9"/>
    </x:row>
    <x:row r="155" ht="22" customHeight="1">
      <x:c r="A155" s="7"/>
      <x:c r="B155" s="8"/>
      <x:c r="C155" s="7"/>
      <x:c r="D155" s="9"/>
      <x:c r="E155" s="9"/>
      <x:c r="F155" s="9"/>
    </x:row>
    <x:row r="156" ht="22" customHeight="1">
      <x:c r="A156" s="7"/>
      <x:c r="B156" s="8"/>
      <x:c r="C156" s="7"/>
      <x:c r="D156" s="9"/>
      <x:c r="E156" s="9"/>
      <x:c r="F156" s="9"/>
    </x:row>
    <x:row r="157" ht="22" customHeight="1">
      <x:c r="A157" s="7"/>
      <x:c r="B157" s="8"/>
      <x:c r="C157" s="7"/>
      <x:c r="D157" s="9"/>
      <x:c r="E157" s="9"/>
      <x:c r="F157" s="9"/>
    </x:row>
    <x:row r="158" ht="22" customHeight="1">
      <x:c r="A158" s="7"/>
      <x:c r="B158" s="8"/>
      <x:c r="C158" s="7"/>
      <x:c r="D158" s="9"/>
      <x:c r="E158" s="9"/>
      <x:c r="F158" s="9"/>
    </x:row>
    <x:row r="159" ht="22" customHeight="1">
      <x:c r="A159" s="7"/>
      <x:c r="B159" s="8"/>
      <x:c r="C159" s="7"/>
      <x:c r="D159" s="9"/>
      <x:c r="E159" s="9"/>
      <x:c r="F159" s="9"/>
    </x:row>
    <x:row r="160" ht="22" customHeight="1">
      <x:c r="A160" s="7"/>
      <x:c r="B160" s="8"/>
      <x:c r="C160" s="7"/>
      <x:c r="D160" s="9"/>
      <x:c r="E160" s="9"/>
      <x:c r="F160" s="9"/>
    </x:row>
    <x:row r="161" ht="22" customHeight="1">
      <x:c r="A161" s="7"/>
      <x:c r="B161" s="8"/>
      <x:c r="C161" s="7"/>
      <x:c r="D161" s="9"/>
      <x:c r="E161" s="9"/>
      <x:c r="F161" s="9"/>
    </x:row>
    <x:row r="162" ht="22" customHeight="1">
      <x:c r="A162" s="7"/>
      <x:c r="B162" s="8"/>
      <x:c r="C162" s="7"/>
      <x:c r="D162" s="9"/>
      <x:c r="E162" s="9"/>
      <x:c r="F162" s="9"/>
    </x:row>
    <x:row r="163" ht="22" customHeight="1">
      <x:c r="A163" s="7"/>
      <x:c r="B163" s="8"/>
      <x:c r="C163" s="7"/>
      <x:c r="D163" s="9"/>
      <x:c r="E163" s="9"/>
      <x:c r="F163" s="9"/>
    </x:row>
    <x:row r="164" ht="22" customHeight="1">
      <x:c r="A164" s="7"/>
      <x:c r="B164" s="8"/>
      <x:c r="C164" s="7"/>
      <x:c r="D164" s="9"/>
      <x:c r="E164" s="9"/>
      <x:c r="F164" s="9"/>
    </x:row>
    <x:row r="165" ht="22" customHeight="1">
      <x:c r="A165" s="7"/>
      <x:c r="B165" s="8"/>
      <x:c r="C165" s="7"/>
      <x:c r="D165" s="9"/>
      <x:c r="E165" s="9"/>
      <x:c r="F165" s="9"/>
    </x:row>
    <x:row r="166" ht="22" customHeight="1">
      <x:c r="A166" s="7"/>
      <x:c r="B166" s="8"/>
      <x:c r="C166" s="7"/>
      <x:c r="D166" s="9"/>
      <x:c r="E166" s="9"/>
      <x:c r="F166" s="9"/>
    </x:row>
    <x:row r="167" ht="22" customHeight="1">
      <x:c r="A167" s="7"/>
      <x:c r="B167" s="8"/>
      <x:c r="C167" s="7"/>
      <x:c r="D167" s="9"/>
      <x:c r="E167" s="9"/>
      <x:c r="F167" s="9"/>
    </x:row>
    <x:row r="168" ht="22" customHeight="1">
      <x:c r="A168" s="7"/>
      <x:c r="B168" s="8"/>
      <x:c r="C168" s="7"/>
      <x:c r="D168" s="9"/>
      <x:c r="E168" s="9"/>
      <x:c r="F168" s="9"/>
    </x:row>
    <x:row r="169" ht="22" customHeight="1">
      <x:c r="A169" s="7"/>
      <x:c r="B169" s="8"/>
      <x:c r="C169" s="7"/>
      <x:c r="D169" s="9"/>
      <x:c r="E169" s="9"/>
      <x:c r="F169" s="9"/>
    </x:row>
    <x:row r="170" ht="22" customHeight="1">
      <x:c r="A170" s="7"/>
      <x:c r="B170" s="8"/>
      <x:c r="C170" s="7"/>
      <x:c r="D170" s="9"/>
      <x:c r="E170" s="9"/>
      <x:c r="F170" s="9"/>
    </x:row>
    <x:row r="171" ht="22" customHeight="1">
      <x:c r="A171" s="7"/>
      <x:c r="B171" s="8"/>
      <x:c r="C171" s="7"/>
      <x:c r="D171" s="9"/>
      <x:c r="E171" s="9"/>
      <x:c r="F171" s="9"/>
    </x:row>
    <x:row r="172" ht="22" customHeight="1">
      <x:c r="A172" s="7"/>
      <x:c r="B172" s="8"/>
      <x:c r="C172" s="7"/>
      <x:c r="D172" s="9"/>
      <x:c r="E172" s="9"/>
      <x:c r="F172" s="9"/>
    </x:row>
    <x:row r="173" ht="22" customHeight="1">
      <x:c r="A173" s="7"/>
      <x:c r="B173" s="8"/>
      <x:c r="C173" s="7"/>
      <x:c r="D173" s="9"/>
      <x:c r="E173" s="9"/>
      <x:c r="F173" s="9"/>
    </x:row>
    <x:row r="174" ht="22" customHeight="1">
      <x:c r="A174" s="7"/>
      <x:c r="B174" s="8"/>
      <x:c r="C174" s="7"/>
      <x:c r="D174" s="9"/>
      <x:c r="E174" s="9"/>
      <x:c r="F174" s="9"/>
    </x:row>
    <x:row r="175" ht="22" customHeight="1">
      <x:c r="A175" s="7"/>
      <x:c r="B175" s="8"/>
      <x:c r="C175" s="7"/>
      <x:c r="D175" s="9"/>
      <x:c r="E175" s="9"/>
      <x:c r="F175" s="9"/>
    </x:row>
    <x:row r="176" ht="22" customHeight="1">
      <x:c r="A176" s="7"/>
      <x:c r="B176" s="8"/>
      <x:c r="C176" s="7"/>
      <x:c r="D176" s="9"/>
      <x:c r="E176" s="9"/>
      <x:c r="F176" s="9"/>
    </x:row>
    <x:row r="177" ht="22" customHeight="1">
      <x:c r="A177" s="7"/>
      <x:c r="B177" s="8"/>
      <x:c r="C177" s="7"/>
      <x:c r="D177" s="9"/>
      <x:c r="E177" s="9"/>
      <x:c r="F177" s="9"/>
    </x:row>
    <x:row r="178" ht="22" customHeight="1">
      <x:c r="A178" s="7"/>
      <x:c r="B178" s="8"/>
      <x:c r="C178" s="7"/>
      <x:c r="D178" s="9"/>
      <x:c r="E178" s="9"/>
      <x:c r="F178" s="9"/>
    </x:row>
    <x:row r="179" ht="22" customHeight="1">
      <x:c r="A179" s="7"/>
      <x:c r="B179" s="8"/>
      <x:c r="C179" s="7"/>
      <x:c r="D179" s="9"/>
      <x:c r="E179" s="9"/>
      <x:c r="F179" s="9"/>
    </x:row>
    <x:row r="180" ht="22" customHeight="1">
      <x:c r="A180" s="7"/>
      <x:c r="B180" s="8"/>
      <x:c r="C180" s="7"/>
      <x:c r="D180" s="9"/>
      <x:c r="E180" s="9"/>
      <x:c r="F180" s="9"/>
    </x:row>
    <x:row r="181" ht="22" customHeight="1">
      <x:c r="A181" s="7"/>
      <x:c r="B181" s="8"/>
      <x:c r="C181" s="7"/>
      <x:c r="D181" s="9"/>
      <x:c r="E181" s="9"/>
      <x:c r="F181" s="9"/>
    </x:row>
    <x:row r="182" ht="22" customHeight="1">
      <x:c r="A182" s="7"/>
      <x:c r="B182" s="8"/>
      <x:c r="C182" s="7"/>
      <x:c r="D182" s="9"/>
      <x:c r="E182" s="9"/>
      <x:c r="F182" s="9"/>
    </x:row>
    <x:row r="183" ht="22" customHeight="1">
      <x:c r="A183" s="7"/>
      <x:c r="B183" s="8"/>
      <x:c r="C183" s="7"/>
      <x:c r="D183" s="9"/>
      <x:c r="E183" s="9"/>
      <x:c r="F183" s="9"/>
    </x:row>
    <x:row r="184" ht="22" customHeight="1">
      <x:c r="A184" s="7"/>
      <x:c r="B184" s="8"/>
      <x:c r="C184" s="7"/>
      <x:c r="D184" s="9"/>
      <x:c r="E184" s="9"/>
      <x:c r="F184" s="9"/>
    </x:row>
    <x:row r="185" ht="22" customHeight="1">
      <x:c r="A185" s="7"/>
      <x:c r="B185" s="8"/>
      <x:c r="C185" s="7"/>
      <x:c r="D185" s="9"/>
      <x:c r="E185" s="9"/>
      <x:c r="F185" s="9"/>
    </x:row>
    <x:row r="186" ht="22" customHeight="1">
      <x:c r="A186" s="7"/>
      <x:c r="B186" s="8"/>
      <x:c r="C186" s="7"/>
      <x:c r="D186" s="9"/>
      <x:c r="E186" s="9"/>
      <x:c r="F186" s="9"/>
    </x:row>
    <x:row r="187" ht="22" customHeight="1">
      <x:c r="A187" s="7"/>
      <x:c r="B187" s="8"/>
      <x:c r="C187" s="7"/>
      <x:c r="D187" s="9"/>
      <x:c r="E187" s="9"/>
      <x:c r="F187" s="9"/>
    </x:row>
    <x:row r="188" ht="22" customHeight="1">
      <x:c r="A188" s="7"/>
      <x:c r="B188" s="8"/>
      <x:c r="C188" s="7"/>
      <x:c r="D188" s="9"/>
      <x:c r="E188" s="9"/>
      <x:c r="F188" s="9"/>
    </x:row>
    <x:row r="189" ht="22" customHeight="1">
      <x:c r="A189" s="7"/>
      <x:c r="B189" s="8"/>
      <x:c r="C189" s="7"/>
      <x:c r="D189" s="9"/>
      <x:c r="E189" s="9"/>
      <x:c r="F189" s="9"/>
    </x:row>
    <x:row r="190" ht="22" customHeight="1">
      <x:c r="A190" s="7"/>
      <x:c r="B190" s="8"/>
      <x:c r="C190" s="7"/>
      <x:c r="D190" s="9"/>
      <x:c r="E190" s="9"/>
      <x:c r="F190" s="9"/>
    </x:row>
    <x:row r="191" ht="22" customHeight="1">
      <x:c r="A191" s="7"/>
      <x:c r="B191" s="8"/>
      <x:c r="C191" s="7"/>
      <x:c r="D191" s="9"/>
      <x:c r="E191" s="9"/>
      <x:c r="F191" s="9"/>
    </x:row>
    <x:row r="192" ht="22" customHeight="1">
      <x:c r="A192" s="7"/>
      <x:c r="B192" s="8"/>
      <x:c r="C192" s="7"/>
      <x:c r="D192" s="9"/>
      <x:c r="E192" s="9"/>
      <x:c r="F192" s="9"/>
    </x:row>
    <x:row r="193" ht="22" customHeight="1">
      <x:c r="A193" s="7"/>
      <x:c r="B193" s="8"/>
      <x:c r="C193" s="7"/>
      <x:c r="D193" s="9"/>
      <x:c r="E193" s="9"/>
      <x:c r="F193" s="9"/>
    </x:row>
    <x:row r="194" ht="22" customHeight="1">
      <x:c r="A194" s="7"/>
      <x:c r="B194" s="8"/>
      <x:c r="C194" s="7"/>
      <x:c r="D194" s="9"/>
      <x:c r="E194" s="9"/>
      <x:c r="F194" s="9"/>
    </x:row>
    <x:row r="195" ht="22" customHeight="1">
      <x:c r="A195" s="7"/>
      <x:c r="B195" s="8"/>
      <x:c r="C195" s="7"/>
      <x:c r="D195" s="9"/>
      <x:c r="E195" s="9"/>
      <x:c r="F195" s="9"/>
    </x:row>
    <x:row r="196" ht="22" customHeight="1">
      <x:c r="A196" s="7"/>
      <x:c r="B196" s="8"/>
      <x:c r="C196" s="7"/>
      <x:c r="D196" s="9"/>
      <x:c r="E196" s="9"/>
      <x:c r="F196" s="9"/>
    </x:row>
    <x:row r="197" ht="22" customHeight="1">
      <x:c r="A197" s="7"/>
      <x:c r="B197" s="8"/>
      <x:c r="C197" s="7"/>
      <x:c r="D197" s="9"/>
      <x:c r="E197" s="9"/>
      <x:c r="F197" s="9"/>
    </x:row>
    <x:row r="198" ht="22" customHeight="1">
      <x:c r="A198" s="7"/>
      <x:c r="B198" s="8"/>
      <x:c r="C198" s="7"/>
      <x:c r="D198" s="9"/>
      <x:c r="E198" s="9"/>
      <x:c r="F198" s="9"/>
    </x:row>
    <x:row r="199" ht="22" customHeight="1">
      <x:c r="A199" s="7"/>
      <x:c r="B199" s="8"/>
      <x:c r="C199" s="7"/>
      <x:c r="D199" s="9"/>
      <x:c r="E199" s="9"/>
      <x:c r="F199" s="9"/>
    </x:row>
    <x:row r="200" ht="22" customHeight="1">
      <x:c r="A200" s="7"/>
      <x:c r="B200" s="8"/>
      <x:c r="C200" s="7"/>
      <x:c r="D200" s="9"/>
      <x:c r="E200" s="9"/>
      <x:c r="F200" s="9"/>
    </x:row>
    <x:row r="201" ht="22" customHeight="1">
      <x:c r="A201" s="7"/>
      <x:c r="B201" s="8"/>
      <x:c r="C201" s="7"/>
      <x:c r="D201" s="9"/>
      <x:c r="E201" s="9"/>
      <x:c r="F201" s="9"/>
    </x:row>
    <x:row r="202" ht="22" customHeight="1">
      <x:c r="A202" s="7"/>
      <x:c r="B202" s="8"/>
      <x:c r="C202" s="7"/>
      <x:c r="D202" s="9"/>
      <x:c r="E202" s="9"/>
      <x:c r="F202" s="9"/>
    </x:row>
    <x:row r="203" ht="22" customHeight="1">
      <x:c r="A203" s="7"/>
      <x:c r="B203" s="8"/>
      <x:c r="C203" s="7"/>
      <x:c r="D203" s="9"/>
      <x:c r="E203" s="9"/>
      <x:c r="F203" s="9"/>
    </x:row>
    <x:row r="204" ht="22" customHeight="1">
      <x:c r="A204" s="7"/>
      <x:c r="B204" s="8"/>
      <x:c r="C204" s="7"/>
      <x:c r="D204" s="9"/>
      <x:c r="E204" s="9"/>
      <x:c r="F204" s="9"/>
    </x:row>
    <x:row r="205" ht="22" customHeight="1">
      <x:c r="A205" s="7"/>
      <x:c r="B205" s="8"/>
      <x:c r="C205" s="7"/>
      <x:c r="D205" s="9"/>
      <x:c r="E205" s="9"/>
      <x:c r="F205" s="9"/>
    </x:row>
    <x:row r="206" ht="22" customHeight="1">
      <x:c r="A206" s="7"/>
      <x:c r="B206" s="8"/>
      <x:c r="C206" s="7"/>
      <x:c r="D206" s="9"/>
      <x:c r="E206" s="9"/>
      <x:c r="F206" s="9"/>
    </x:row>
    <x:row r="207" ht="22" customHeight="1">
      <x:c r="A207" s="7"/>
      <x:c r="B207" s="8"/>
      <x:c r="C207" s="7"/>
      <x:c r="D207" s="9"/>
      <x:c r="E207" s="9"/>
      <x:c r="F207" s="9"/>
    </x:row>
  </x:sheetData>
  <x:pageMargins left="0.7" right="0.7" top="0.75" bottom="0.75" header="0.3" footer="0.3"/>
  <x:tableParts count="1">
    <x:tablePart xmlns:r="http://schemas.openxmlformats.org/officeDocument/2006/relationships" r:id="Rfe7df2ba02cf4ae2"/>
  </x:tableParts>
</x:worksheet>
</file>

<file path=xl/worksheets/sheet4.xml><?xml version="1.0" encoding="utf-8"?>
<x:worksheet xmlns:x="http://schemas.openxmlformats.org/spreadsheetml/2006/main">
  <x:sheetPr>
    <x:tabColor rgb="FF8898A5"/>
  </x:sheetPr>
  <x:sheetViews>
    <x:sheetView showGridLines="0" workbookViewId="0"/>
  </x:sheetViews>
  <x:sheetFormatPr defaultRowHeight="15"/>
  <x:cols>
    <x:col min="1" max="1" width="3" hidden="0" customWidth="1"/>
    <x:col min="2" max="2" width="115" hidden="0" customWidth="1"/>
  </x:cols>
  <x:sheetData>
    <x:row r="1" ht="22" customHeight="1">
      <x:c r="A1" s="2"/>
      <x:c r="B1" s="2"/>
    </x:row>
    <x:row r="2" ht="30" customHeight="1">
      <x:c r="A2" s="2"/>
      <x:c r="B2" s="10" t="str">
        <x:v>How this sample works</x:v>
      </x:c>
    </x:row>
    <x:row r="3" ht="22" customHeight="1">
      <x:c r="A3" s="2"/>
      <x:c r="B3" s="2"/>
    </x:row>
    <x:row r="4" ht="25" customHeight="1">
      <x:c r="A4" s="2"/>
      <x:c r="B4" s="25" t="str">
        <x:v>BUSINESS PROBLEM</x:v>
      </x:c>
    </x:row>
    <x:row r="5" ht="46" customHeight="1">
      <x:c r="A5" s="2"/>
      <x:c r="B5" s="11" t="str">
        <x:v>A weekly service report arrives with inconsistent team names, duplicate tickets and incomplete fields. Manual cleanup makes the process hard to repeat and can distort reported performance.</x:v>
      </x:c>
    </x:row>
    <x:row r="6" ht="22" customHeight="1">
      <x:c r="A6" s="2"/>
      <x:c r="B6" s="2"/>
    </x:row>
    <x:row r="7" ht="25" customHeight="1">
      <x:c r="A7" s="2"/>
      <x:c r="B7" s="25" t="str">
        <x:v>SOLUTION</x:v>
      </x:c>
    </x:row>
    <x:row r="8" ht="46" customHeight="1">
      <x:c r="A8" s="2"/>
      <x:c r="B8" s="11" t="str">
        <x:v>Preserve source values, standardize identifiers and team names, validate every populated row, and calculate workload and SLA performance from included records only.</x:v>
      </x:c>
    </x:row>
    <x:row r="9" ht="22" customHeight="1">
      <x:c r="A9" s="2"/>
      <x:c r="B9" s="2"/>
    </x:row>
    <x:row r="10" ht="25" customHeight="1">
      <x:c r="A10" s="2"/>
      <x:c r="B10" s="25" t="str">
        <x:v>REFRESH IN EXCEL</x:v>
      </x:c>
    </x:row>
    <x:row r="11" ht="46" customHeight="1">
      <x:c r="A11" s="2"/>
      <x:c r="B11" s="11" t="str">
        <x:v>1. Set the reporting start on Report to a Monday. The end date and four weekly labels update automatically for a 28-day reporting period.</x:v>
      </x:c>
    </x:row>
    <x:row r="12" ht="46" customHeight="1">
      <x:c r="A12" s="2"/>
      <x:c r="B12" s="11" t="str">
        <x:v>2. Clear Source A2:F207, then paste values in the same six-column layout. Capacity is 206 records. Use Excel dates, not text dates. Do not overwrite Prepared formulas.</x:v>
      </x:c>
    </x:row>
    <x:row r="13" ht="46" customHeight="1">
      <x:c r="A13" s="2"/>
      <x:c r="B13" s="11" t="str">
        <x:v>3. Review the Report counts. Filter Prepared Disposition to Review. Correct Source values after checking the original system, then confirm results recalculate. Both copies of a duplicate ID are held for review.</x:v>
      </x:c>
    </x:row>
    <x:row r="14" ht="46" customHeight="1">
      <x:c r="A14" s="2"/>
      <x:c r="B14" s="11" t="str">
        <x:v>4. Ensure Included + Review equals Source records. Review records stay excluded until you correct the underlying data. Re-run the Python option separately if you also want refreshed CSV and HTML outputs.</x:v>
      </x:c>
    </x:row>
    <x:row r="15" ht="22" customHeight="1">
      <x:c r="A15" s="2"/>
      <x:c r="B15" s="2"/>
    </x:row>
    <x:row r="16" ht="25" customHeight="1">
      <x:c r="A16" s="2"/>
      <x:c r="B16" s="25" t="str">
        <x:v>FIELD CONTRACT</x:v>
      </x:c>
    </x:row>
    <x:row r="17" ht="62" customHeight="1">
      <x:c r="A17" s="2"/>
      <x:c r="B17" s="11" t="str">
        <x:v>Ticket ID: required, unique after trimming spaces and changing to uppercase. Closed date: numeric Excel date within the selected inclusive reporting window. Team: one of the three allowed values below after normalization.</x:v>
      </x:c>
    </x:row>
    <x:row r="18" ht="46" customHeight="1">
      <x:c r="A18" s="2"/>
      <x:c r="B18" s="11" t="str">
        <x:v>Effort hours and resolution hours: required numeric values &gt;= 0. SLA hours: required numeric value &gt; 0. A ticket meets SLA when resolution hours &lt;= SLA hours. Missing values are never treated as measured zero.</x:v>
      </x:c>
    </x:row>
    <x:row r="19" ht="22" customHeight="1">
      <x:c r="A19" s="2"/>
      <x:c r="B19" s="2"/>
    </x:row>
    <x:row r="20" ht="25" customHeight="1">
      <x:c r="A20" s="2"/>
      <x:c r="B20" s="25" t="str">
        <x:v>AUTOMATION OPTION</x:v>
      </x:c>
    </x:row>
    <x:row r="21" ht="62" customHeight="1">
      <x:c r="A21" s="2"/>
      <x:c r="B21" s="11" t="str">
        <x:v>The accompanying Python script validates the CSV and produces accepted records, exceptions and an HTML report. It uses only the Python standard library. The Excel file recalculates after pasted input changes; it does not automatically fetch files or send emails.</x:v>
      </x:c>
    </x:row>
    <x:row r="22" ht="22" customHeight="1">
      <x:c r="A22" s="2"/>
      <x:c r="B22" s="2"/>
    </x:row>
    <x:row r="23" ht="25" customHeight="1">
      <x:c r="A23" s="2"/>
      <x:c r="B23" s="25" t="str">
        <x:v>ALLOWED TEAMS</x:v>
      </x:c>
    </x:row>
    <x:row r="24" ht="25" customHeight="1">
      <x:c r="A24" s="2"/>
      <x:c r="B24" s="11" t="str">
        <x:v>SUPPORT</x:v>
      </x:c>
    </x:row>
    <x:row r="25" ht="25" customHeight="1">
      <x:c r="A25" s="2"/>
      <x:c r="B25" s="11" t="str">
        <x:v>LOGISTICS</x:v>
      </x:c>
    </x:row>
    <x:row r="26" ht="25" customHeight="1">
      <x:c r="A26" s="2"/>
      <x:c r="B26" s="11" t="str">
        <x:v>FIELD</x:v>
      </x:c>
    </x:row>
    <x:row r="27" ht="22" customHeight="1">
      <x:c r="A27" s="2"/>
      <x:c r="B27" s="2"/>
    </x:row>
    <x:row r="28" ht="25" customHeight="1">
      <x:c r="A28" s="2"/>
      <x:c r="B28" s="25" t="str">
        <x:v>PORTFOLIO SCOPE</x:v>
      </x:c>
    </x:row>
    <x:row r="29" ht="62" customHeight="1">
      <x:c r="A29" s="2"/>
      <x:c r="B29" s="11" t="str">
        <x:v>Task Unwind demonstration built with AI assistance. Data is entirely synthetic. This is a repeatable workflow example, not a client engagement or measured client result. No macros, external connections or employer data are included.</x:v>
      </x:c>
    </x:row>
  </x:sheetData>
  <x:pageMargins left="0.7" right="0.7" top="0.75" bottom="0.75" header="0.3" footer="0.3"/>
</x:worksheet>
</file>